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60" activeTab="0"/>
  </bookViews>
  <sheets>
    <sheet name="WORKING" sheetId="1" r:id="rId1"/>
    <sheet name="IT-STATEMENT-2021-2022 OLD" sheetId="2" r:id="rId2"/>
    <sheet name="IT-STATEMENT - P&amp;C" sheetId="3" state="hidden" r:id="rId3"/>
    <sheet name="IT-STATEMENT-21-22 NEW" sheetId="4" r:id="rId4"/>
    <sheet name="Sheet2" sheetId="5" state="hidden" r:id="rId5"/>
    <sheet name="FORM 16 -2021-2022" sheetId="6" r:id="rId6"/>
    <sheet name="PART FORM 16" sheetId="7" r:id="rId7"/>
    <sheet name="RENT RECEIPT" sheetId="8" state="hidden" r:id="rId8"/>
    <sheet name="Sheet1" sheetId="9" state="hidden" r:id="rId9"/>
    <sheet name="Sheet3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xlnm.Print_Area" localSheetId="5">'FORM 16 -2021-2022'!$A$1:$I$48,'FORM 16 -2021-2022'!$J$49:$R$93</definedName>
    <definedName name="_xlnm.Print_Area" localSheetId="2">'IT-STATEMENT - P&amp;C'!$F$1:$U$40,'IT-STATEMENT - P&amp;C'!$G$42:$U$97</definedName>
    <definedName name="_xlnm.Print_Area" localSheetId="1">'IT-STATEMENT-2021-2022 OLD'!$G$1:$W$60</definedName>
    <definedName name="_xlnm.Print_Area" localSheetId="6">'PART FORM 16'!$A$1:$I$55</definedName>
    <definedName name="_xlnm.Print_Area" localSheetId="7">'RENT RECEIPT'!$A$7:$J$34</definedName>
    <definedName name="_xlnm.Print_Titles" localSheetId="1">'IT-STATEMENT-2021-2022 OLD'!$3:$4</definedName>
  </definedNames>
  <calcPr fullCalcOnLoad="1"/>
</workbook>
</file>

<file path=xl/comments1.xml><?xml version="1.0" encoding="utf-8"?>
<comments xmlns="http://schemas.openxmlformats.org/spreadsheetml/2006/main">
  <authors>
    <author>Kowshik</author>
  </authors>
  <commentList>
    <comment ref="H36" authorId="0">
      <text>
        <r>
          <rPr>
            <b/>
            <sz val="8"/>
            <rFont val="Tahoma"/>
            <family val="2"/>
          </rPr>
          <t>Kowshik:  LIMITED TO 20OOOO/-</t>
        </r>
      </text>
    </comment>
    <comment ref="H38" authorId="0">
      <text>
        <r>
          <rPr>
            <b/>
            <sz val="8"/>
            <rFont val="Tahoma"/>
            <family val="2"/>
          </rPr>
          <t>Kowsh   LIMITED TO 25000/-</t>
        </r>
      </text>
    </comment>
  </commentList>
</comments>
</file>

<file path=xl/comments2.xml><?xml version="1.0" encoding="utf-8"?>
<comments xmlns="http://schemas.openxmlformats.org/spreadsheetml/2006/main">
  <authors>
    <author>Kowshik</author>
  </authors>
  <commentList>
    <comment ref="I36" authorId="0">
      <text>
        <r>
          <rPr>
            <b/>
            <sz val="8"/>
            <rFont val="Tahoma"/>
            <family val="2"/>
          </rPr>
          <t>Kowshik:  LIMITED TO 20OOOO/-</t>
        </r>
      </text>
    </comment>
    <comment ref="I38" authorId="0">
      <text>
        <r>
          <rPr>
            <b/>
            <sz val="8"/>
            <rFont val="Tahoma"/>
            <family val="2"/>
          </rPr>
          <t>Kowsh   LIMITED TO 25000/-</t>
        </r>
      </text>
    </comment>
  </commentList>
</comments>
</file>

<file path=xl/comments3.xml><?xml version="1.0" encoding="utf-8"?>
<comments xmlns="http://schemas.openxmlformats.org/spreadsheetml/2006/main">
  <authors>
    <author>HOME</author>
    <author>Kowshik</author>
  </authors>
  <commentList>
    <comment ref="U46" authorId="0">
      <text>
        <r>
          <rPr>
            <sz val="8"/>
            <rFont val="Tahoma"/>
            <family val="2"/>
          </rPr>
          <t xml:space="preserve">Enter Amount of House Rent or Make it "0" if Your in Own House 
</t>
        </r>
      </text>
    </comment>
    <comment ref="H198" authorId="1">
      <text>
        <r>
          <rPr>
            <b/>
            <sz val="8"/>
            <rFont val="Tahoma"/>
            <family val="2"/>
          </rPr>
          <t>Kowshik:  LIMITED TO 20OOOO/-</t>
        </r>
      </text>
    </comment>
    <comment ref="H200" authorId="1">
      <text>
        <r>
          <rPr>
            <b/>
            <sz val="8"/>
            <rFont val="Tahoma"/>
            <family val="2"/>
          </rPr>
          <t>Kowsh   LIMITED TO 25000/-</t>
        </r>
      </text>
    </comment>
  </commentList>
</comments>
</file>

<file path=xl/sharedStrings.xml><?xml version="1.0" encoding="utf-8"?>
<sst xmlns="http://schemas.openxmlformats.org/spreadsheetml/2006/main" count="1395" uniqueCount="455">
  <si>
    <t>NAME</t>
  </si>
  <si>
    <t>SECTION</t>
  </si>
  <si>
    <t>G.PAY</t>
  </si>
  <si>
    <t>TOTAL</t>
  </si>
  <si>
    <t>PT</t>
  </si>
  <si>
    <t>LIC</t>
  </si>
  <si>
    <t>M</t>
  </si>
  <si>
    <t>DESIGNATION</t>
  </si>
  <si>
    <t>W</t>
  </si>
  <si>
    <t>NAME:</t>
  </si>
  <si>
    <t>DESIG.:</t>
  </si>
  <si>
    <t xml:space="preserve">SECT. : </t>
  </si>
  <si>
    <t>INCREMENT AMOUNT</t>
  </si>
  <si>
    <t>Month</t>
  </si>
  <si>
    <t>Basic Pay</t>
  </si>
  <si>
    <t>D.A.</t>
  </si>
  <si>
    <t>H.R.A.</t>
  </si>
  <si>
    <t>C.C.A.</t>
  </si>
  <si>
    <t>Total</t>
  </si>
  <si>
    <t xml:space="preserve">GPF </t>
  </si>
  <si>
    <t xml:space="preserve">SPF &amp; </t>
  </si>
  <si>
    <t>PLI</t>
  </si>
  <si>
    <t>H.B.A.</t>
  </si>
  <si>
    <t>P.T.</t>
  </si>
  <si>
    <t xml:space="preserve">IT SO FOR </t>
  </si>
  <si>
    <t>INCREMENT MONTH</t>
  </si>
  <si>
    <t>Sub.</t>
  </si>
  <si>
    <t>SPFG</t>
  </si>
  <si>
    <t>REC.</t>
  </si>
  <si>
    <t>SLS</t>
  </si>
  <si>
    <t>BONUS</t>
  </si>
  <si>
    <t>D.W.</t>
  </si>
  <si>
    <t xml:space="preserve">SAVINGS  (  80-C  ) </t>
  </si>
  <si>
    <t>TOTAL SALARY INCOME</t>
  </si>
  <si>
    <t>LESS H.R.A.RELIEF</t>
  </si>
  <si>
    <t>( - )</t>
  </si>
  <si>
    <t>:</t>
  </si>
  <si>
    <t>INTEREST ON H.B.A.</t>
  </si>
  <si>
    <t>80-D MEDICIAL INSURANCE</t>
  </si>
  <si>
    <t xml:space="preserve"> GROSS TOTAL INCOME</t>
  </si>
  <si>
    <t>LIMITED TO ONE LAKH</t>
  </si>
  <si>
    <t>SAVINGS TOTAL</t>
  </si>
  <si>
    <t xml:space="preserve"> M</t>
  </si>
  <si>
    <t>TAXABLE INCOME</t>
  </si>
  <si>
    <t>TAXABLE INCOME ROUNDED OFF</t>
  </si>
  <si>
    <t>INCOME TAX AMOUNT</t>
  </si>
  <si>
    <t xml:space="preserve">TOTAL IT </t>
  </si>
  <si>
    <t>IT RECOVERED</t>
  </si>
  <si>
    <t>BALANCE</t>
  </si>
  <si>
    <t>TOTAL IT PLUS CESS PAYABLE</t>
  </si>
  <si>
    <t xml:space="preserve">SIGNATURE </t>
  </si>
  <si>
    <t>DA %</t>
  </si>
  <si>
    <t>PAN NO. OF THE EMPLOYEE</t>
  </si>
  <si>
    <t>TOTAL IT.</t>
  </si>
  <si>
    <t>THE  ABOVE STATEMENT WILL BE ACCEPTED ONLY IF THE ATTESTED COPIES OF THE MEDICLAIM POLICY, H.B.A.INTEREST, L.I.C. PPF, NSC, ICICI,</t>
  </si>
  <si>
    <r>
      <t>IDBI AND TUTION FEES  ARE ENCLOSED AND THE</t>
    </r>
    <r>
      <rPr>
        <b/>
        <sz val="9"/>
        <rFont val="Arial"/>
        <family val="2"/>
      </rPr>
      <t xml:space="preserve"> PAN No. ALSO SHOULD BE GIVEN.</t>
    </r>
  </si>
  <si>
    <t>IT RECOVERED IN OTHER CIRCLE/DIV.</t>
  </si>
  <si>
    <t xml:space="preserve">CIRCLE /DIV. </t>
  </si>
  <si>
    <t>AMOUNT</t>
  </si>
  <si>
    <t>MONTH &amp; YEAR</t>
  </si>
  <si>
    <t>IT REFUND TO THE INDIVIDUAL</t>
  </si>
  <si>
    <t>IT TOTAL AMOUNT</t>
  </si>
  <si>
    <t>REFUND</t>
  </si>
  <si>
    <t>MON/YEAR</t>
  </si>
  <si>
    <t>INCREMENT CAL.</t>
  </si>
  <si>
    <t>DA</t>
  </si>
  <si>
    <t>DIFF.</t>
  </si>
  <si>
    <t>TOTAL D.A.</t>
  </si>
  <si>
    <t>OFFICER</t>
  </si>
  <si>
    <t>STAFF</t>
  </si>
  <si>
    <t>O</t>
  </si>
  <si>
    <t>GRADE PAY</t>
  </si>
  <si>
    <t>S</t>
  </si>
  <si>
    <t>GPF Subscription</t>
  </si>
  <si>
    <t>FSFS/SPF/SPFG2000</t>
  </si>
  <si>
    <t>PPF Subscription</t>
  </si>
  <si>
    <t>PLI Subscription</t>
  </si>
  <si>
    <t>LIC Subscription</t>
  </si>
  <si>
    <t>Tution Fees</t>
  </si>
  <si>
    <t>ICICI Prudential</t>
  </si>
  <si>
    <t>Refund of loan for H.B.A.</t>
  </si>
  <si>
    <t>INFRASTRUCTURE BOND</t>
  </si>
  <si>
    <t>9 (a)</t>
  </si>
  <si>
    <t>IT RECOVERED IN OTHER CIRCLE/ DIV.</t>
  </si>
  <si>
    <t>PAY</t>
  </si>
  <si>
    <t>Rs.</t>
  </si>
  <si>
    <t>D.PAY</t>
  </si>
  <si>
    <t>HRA</t>
  </si>
  <si>
    <t>CCA</t>
  </si>
  <si>
    <t>OTHER</t>
  </si>
  <si>
    <t>a</t>
  </si>
  <si>
    <t>HOUSE RENT PAID</t>
  </si>
  <si>
    <t>b</t>
  </si>
  <si>
    <t>SALARY (PAY+GP+DA)</t>
  </si>
  <si>
    <t>c</t>
  </si>
  <si>
    <t>1/10'TH OF SALARY</t>
  </si>
  <si>
    <t>(a-c)</t>
  </si>
  <si>
    <t xml:space="preserve"> I)   I certify that I am residing in rented house</t>
  </si>
  <si>
    <t xml:space="preserve">  1. RENT PAID IN EXCESS of 1/10' TH  OF SALARY</t>
  </si>
  <si>
    <t xml:space="preserve">  2. HOUSE ALLOWANCE RECEIVED</t>
  </si>
  <si>
    <t xml:space="preserve">  3. 50% OF SALARY IF ACCOMMODATION IN CHENNAI.</t>
  </si>
  <si>
    <t>RELIEF OF HRA FOR THE YEAR ( LOWEST OF 1,2 &amp; 3 ABOVE )</t>
  </si>
  <si>
    <t>ADDL.CHARGE</t>
  </si>
  <si>
    <r>
      <t>FORM No.16</t>
    </r>
    <r>
      <rPr>
        <b/>
        <u val="single"/>
        <sz val="11"/>
        <rFont val="Tahoma"/>
        <family val="2"/>
      </rPr>
      <t xml:space="preserve">
</t>
    </r>
    <r>
      <rPr>
        <b/>
        <sz val="10"/>
        <rFont val="Tahoma"/>
        <family val="2"/>
      </rPr>
      <t>[See rule 31(1)(a) of the
Income Tax Rules, 1962]</t>
    </r>
  </si>
  <si>
    <t>Certificate under section 203 of the Income Tax Act, 1961 for tax deducted at source from Income Chargeable under the Head "Salaries".</t>
  </si>
  <si>
    <t>Name &amp; Address of the Employer</t>
  </si>
  <si>
    <t>Name &amp; Designation of the Employee</t>
  </si>
  <si>
    <t>SUPERINTENDING ENGINEER</t>
  </si>
  <si>
    <t>CEDC/CENTRAL/CHENNAI-34.</t>
  </si>
  <si>
    <t>PAN Number
of the Deductor</t>
  </si>
  <si>
    <t>TAN No.
of the Deductor</t>
  </si>
  <si>
    <t>PAN No. of the Employee</t>
  </si>
  <si>
    <t>Acknowledgement Nos. of all Quarterly Statement of TDS under sub-section (3) of Section 200 as provided by TIN Facilitation Centre or NSDL web-site.</t>
  </si>
  <si>
    <t>PERIOD</t>
  </si>
  <si>
    <t>ASSESSMENT YEAR</t>
  </si>
  <si>
    <t>Quarter</t>
  </si>
  <si>
    <t>Acknowledgement No.</t>
  </si>
  <si>
    <t>FROM</t>
  </si>
  <si>
    <t>TO</t>
  </si>
  <si>
    <t>I</t>
  </si>
  <si>
    <t>II</t>
  </si>
  <si>
    <t>III</t>
  </si>
  <si>
    <t>IV</t>
  </si>
  <si>
    <t>DETAILS OF SALARY PAID AND ANY OTHER INCOME AND TAX DEDUCTED</t>
  </si>
  <si>
    <t>1.</t>
  </si>
  <si>
    <t>Gross Salary</t>
  </si>
  <si>
    <t>[a]</t>
  </si>
  <si>
    <t>Salary as per provisions contained in Section 17(1)</t>
  </si>
  <si>
    <t>[b]</t>
  </si>
  <si>
    <t>Value of perquisites under Section 17(2) (as per Form No.12BA, wherever applicable</t>
  </si>
  <si>
    <t>[c]</t>
  </si>
  <si>
    <t>Profits in lieu of Salary under section 17(3) (as per Form No.12BA, wherever applicable)</t>
  </si>
  <si>
    <t>[d]</t>
  </si>
  <si>
    <t>2.</t>
  </si>
  <si>
    <r>
      <t>Less</t>
    </r>
    <r>
      <rPr>
        <sz val="10"/>
        <rFont val="Tahoma"/>
        <family val="2"/>
      </rPr>
      <t xml:space="preserve">: Allowance to the extent exempt
</t>
    </r>
    <r>
      <rPr>
        <sz val="10"/>
        <color indexed="9"/>
        <rFont val="Tahoma"/>
        <family val="2"/>
      </rPr>
      <t>Less:</t>
    </r>
    <r>
      <rPr>
        <sz val="10"/>
        <rFont val="Tahoma"/>
        <family val="2"/>
      </rPr>
      <t xml:space="preserve"> under section 10</t>
    </r>
  </si>
  <si>
    <t>3.</t>
  </si>
  <si>
    <t>Balance (1-2)</t>
  </si>
  <si>
    <t>4.</t>
  </si>
  <si>
    <t>5.</t>
  </si>
  <si>
    <t>Aggregate of 4(a) and (b)</t>
  </si>
  <si>
    <t>6.</t>
  </si>
  <si>
    <t>Income chargeable under the head 
Salaries (3-5)</t>
  </si>
  <si>
    <t>7.</t>
  </si>
  <si>
    <r>
      <t>Add</t>
    </r>
    <r>
      <rPr>
        <sz val="10"/>
        <rFont val="Tahoma"/>
        <family val="2"/>
      </rPr>
      <t xml:space="preserve">: Any other income reported by
</t>
    </r>
    <r>
      <rPr>
        <sz val="10"/>
        <color indexed="9"/>
        <rFont val="Tahoma"/>
        <family val="2"/>
      </rPr>
      <t>Add:</t>
    </r>
    <r>
      <rPr>
        <sz val="10"/>
        <rFont val="Tahoma"/>
        <family val="2"/>
      </rPr>
      <t xml:space="preserve"> the Employee</t>
    </r>
  </si>
  <si>
    <t>8.</t>
  </si>
  <si>
    <t>Gross Total Income (6 + 7)</t>
  </si>
  <si>
    <t>9.</t>
  </si>
  <si>
    <t>Deductions under Chapter VI-A</t>
  </si>
  <si>
    <t>Gross Amount
(Rs.)</t>
  </si>
  <si>
    <t>Deductible Amount
(Rs.)</t>
  </si>
  <si>
    <t>(A)</t>
  </si>
  <si>
    <t>Section 80C, 80CCC and 80CCD</t>
  </si>
  <si>
    <t>Section 80C</t>
  </si>
  <si>
    <t>Section 80CCC</t>
  </si>
  <si>
    <t>Section 80CCD</t>
  </si>
  <si>
    <r>
      <t xml:space="preserve">Note: 1. Aggregate amount deductible under section 80C shall not exceed one lakh rupees.
</t>
    </r>
    <r>
      <rPr>
        <b/>
        <sz val="7.5"/>
        <color indexed="9"/>
        <rFont val="Tahoma"/>
        <family val="2"/>
      </rPr>
      <t>Note:</t>
    </r>
    <r>
      <rPr>
        <b/>
        <sz val="7.5"/>
        <rFont val="Tahoma"/>
        <family val="2"/>
      </rPr>
      <t xml:space="preserve"> 2. Aggregate amount deductible under the three sections, i.e., 80C, 80CCC and 80CCD, shall not exceed one lakh rupee.</t>
    </r>
  </si>
  <si>
    <t>(B)</t>
  </si>
  <si>
    <t>Other sections (e.g., 80E, 80G, etc.)</t>
  </si>
  <si>
    <t>Gross
Amount
(Rs.)</t>
  </si>
  <si>
    <t>Qualifying
Amount
(Rs.)</t>
  </si>
  <si>
    <t>Deductible
Amount
(Rs.)</t>
  </si>
  <si>
    <t>Under Chapter VI-A</t>
  </si>
  <si>
    <t xml:space="preserve">Section </t>
  </si>
  <si>
    <t>Section</t>
  </si>
  <si>
    <t>[e]</t>
  </si>
  <si>
    <t>10.</t>
  </si>
  <si>
    <t>Aggregate of deductible amount under chapter VI-A</t>
  </si>
  <si>
    <t>11.</t>
  </si>
  <si>
    <r>
      <t>Total Income</t>
    </r>
    <r>
      <rPr>
        <sz val="10"/>
        <rFont val="Tahoma"/>
        <family val="2"/>
      </rPr>
      <t xml:space="preserve"> (8-10)</t>
    </r>
  </si>
  <si>
    <t>12.</t>
  </si>
  <si>
    <t>Tax on Total Income</t>
  </si>
  <si>
    <t>13.</t>
  </si>
  <si>
    <t>Surcharge (on tax computed at S.No.12)</t>
  </si>
  <si>
    <t>14.</t>
  </si>
  <si>
    <t>plus surcharge at S.No.13)</t>
  </si>
  <si>
    <t>15.</t>
  </si>
  <si>
    <t>Tax Payable (12 + 13 + 14)</t>
  </si>
  <si>
    <t>16.</t>
  </si>
  <si>
    <t xml:space="preserve">Relief under Section 89 (attach details) </t>
  </si>
  <si>
    <t>17.</t>
  </si>
  <si>
    <t>Tax Payable (15 - 16)</t>
  </si>
  <si>
    <t>18.</t>
  </si>
  <si>
    <r>
      <t>Less</t>
    </r>
    <r>
      <rPr>
        <sz val="10"/>
        <rFont val="Tahoma"/>
        <family val="2"/>
      </rPr>
      <t>: (a) Tax Deduction at Source u/s 192(1)</t>
    </r>
  </si>
  <si>
    <r>
      <t>Less:</t>
    </r>
    <r>
      <rPr>
        <sz val="10"/>
        <rFont val="Tahoma"/>
        <family val="2"/>
      </rPr>
      <t xml:space="preserve"> (b) Tax paid by the employer on behalf of the</t>
    </r>
  </si>
  <si>
    <r>
      <t>Less: (a)</t>
    </r>
    <r>
      <rPr>
        <sz val="10"/>
        <rFont val="Tahoma"/>
        <family val="2"/>
      </rPr>
      <t xml:space="preserve"> Employee u/s 192(1A) on perquisites u/s 17/2 </t>
    </r>
  </si>
  <si>
    <t>19.</t>
  </si>
  <si>
    <t>Tax Payable / Refundable (17 - 18)</t>
  </si>
  <si>
    <t>DETAILS OF TAX DEDUCTED AND DEPOSITED INTO CENTRAL GOVERNMENT ACCOUNT</t>
  </si>
  <si>
    <t>(The Employer is to provide transaction-wise details of tax deducted and deposited)</t>
  </si>
  <si>
    <t>MONTH</t>
  </si>
  <si>
    <t>TDS
(Rs.)</t>
  </si>
  <si>
    <t>Surcharge
(Rs.)</t>
  </si>
  <si>
    <t>Education Cess
(Rs.)</t>
  </si>
  <si>
    <t>Total Tax Deposited
(Rs.)</t>
  </si>
  <si>
    <t>Cheque/ 
DD No.
(if any)</t>
  </si>
  <si>
    <t>BSR Code 
of Bank Branch</t>
  </si>
  <si>
    <t>Date on which tax Deposited
(dd/mm/yy)</t>
  </si>
  <si>
    <t>Transfer Voucher/ Challan Identification No.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</si>
  <si>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</si>
  <si>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</si>
  <si>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</si>
  <si>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</si>
  <si>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</si>
  <si>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</si>
  <si>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</si>
  <si>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</si>
  <si>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</si>
  <si>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</si>
  <si>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</t>
  </si>
  <si>
    <t>2</t>
  </si>
  <si>
    <t>CASH</t>
  </si>
  <si>
    <t>AAO NAME</t>
  </si>
  <si>
    <t>AAO FATHER NAME</t>
  </si>
  <si>
    <t>Signature of the person responsible for deduction of tax</t>
  </si>
  <si>
    <t>Place</t>
  </si>
  <si>
    <t xml:space="preserve"> :  Chennai -34.</t>
  </si>
  <si>
    <t>Date</t>
  </si>
  <si>
    <t>Designation ASST.ADM.OFFICER</t>
  </si>
  <si>
    <t>TOTAL IT</t>
  </si>
  <si>
    <t>RECOVERED AMOUNT</t>
  </si>
  <si>
    <t>E-PAYMENT AMOUNT</t>
  </si>
  <si>
    <t>H.B.A. interest</t>
  </si>
  <si>
    <t>MEDICIAL INSURANCE -80 D</t>
  </si>
  <si>
    <t>Tech.Education Interest &amp; HIS</t>
  </si>
  <si>
    <t>SE/NAME</t>
  </si>
  <si>
    <t>500001  TO 1000000  20%</t>
  </si>
  <si>
    <t>ABOVE 1000000         30%</t>
  </si>
  <si>
    <t>500001  TO 1000000   20%</t>
  </si>
  <si>
    <t>TECH.EDUCATION INTEREST</t>
  </si>
  <si>
    <t>TAX REBART ( SEC.87-A)</t>
  </si>
  <si>
    <t>N49</t>
  </si>
  <si>
    <t>ii)   I certify that I have actually paid the rent as shown in income tax  calculation for the year 2013 - 2014.</t>
  </si>
  <si>
    <t>I certify that I am residing in rented house</t>
  </si>
  <si>
    <t>YES  OR  NO</t>
  </si>
  <si>
    <t>Y</t>
  </si>
  <si>
    <t>N</t>
  </si>
  <si>
    <t>iii)  I certify that the particulars given in support of income tax calculation for 2013-14 are correct and true  to the best of my knowledge.</t>
  </si>
  <si>
    <t>INDIVIDUAL</t>
  </si>
  <si>
    <t>UPTO RS.250000/= (   NIL  )</t>
  </si>
  <si>
    <t>E.L. ENCASHMENT</t>
  </si>
  <si>
    <t>LEAVE ON P.A.</t>
  </si>
  <si>
    <t>UP TO 300000/- NIL</t>
  </si>
  <si>
    <t>OTHER CIRCLE REC.</t>
  </si>
  <si>
    <t>TAMIL NADU ELECTRICITY BOARD</t>
  </si>
  <si>
    <t>(The deductor to provide payment wise details of tax deducted and deposited with respect to the deductee)</t>
  </si>
  <si>
    <t>SL.NO.</t>
  </si>
  <si>
    <t>Tax Deposited in respect of the deductee(Rs.)</t>
  </si>
  <si>
    <t>Challan Identification Number(CIN)</t>
  </si>
  <si>
    <t>BSR Code of the Bank Branch</t>
  </si>
  <si>
    <t>Date on which tax deposited (dd/mm/yyyy)</t>
  </si>
  <si>
    <t>Challan Serial Number</t>
  </si>
  <si>
    <t>Status of matching with OLTAS</t>
  </si>
  <si>
    <t>7.8.2014</t>
  </si>
  <si>
    <t>TOTAL(Rs.)</t>
  </si>
  <si>
    <t>Designation ADM.OFFICER</t>
  </si>
  <si>
    <t>Notes:</t>
  </si>
  <si>
    <r>
      <t xml:space="preserve">    1.</t>
    </r>
    <r>
      <rPr>
        <sz val="9"/>
        <rFont val="Tahoma"/>
        <family val="2"/>
      </rPr>
      <t xml:space="preserve"> Government deductors to fill information in item I if tax is paid without production of an income-tax challan and in item II.</t>
    </r>
  </si>
  <si>
    <t xml:space="preserve">         if tax is paid accompanied by an income-tax challan.</t>
  </si>
  <si>
    <t xml:space="preserve">    2.  Non-Government deductors to fill information in item II. </t>
  </si>
  <si>
    <r>
      <t xml:space="preserve">   </t>
    </r>
    <r>
      <rPr>
        <sz val="9"/>
        <rFont val="Tahoma"/>
        <family val="2"/>
      </rPr>
      <t xml:space="preserve"> 3.  The deductor shall furnish the address of the Commissioner of income-tax(TDS) having jurisdiction as regards TDS statements</t>
    </r>
  </si>
  <si>
    <r>
      <t xml:space="preserve">       </t>
    </r>
    <r>
      <rPr>
        <sz val="9"/>
        <rFont val="Tahoma"/>
        <family val="2"/>
      </rPr>
      <t xml:space="preserve">  of the assessee. </t>
    </r>
  </si>
  <si>
    <t xml:space="preserve">    4. If an assessee is employed under one employer only during the year, certificate in Form No.16 issued for the quarter ending </t>
  </si>
  <si>
    <t xml:space="preserve">        on 31 st march  of the financial year shall contain the details of tax deducted and deposited for all the quarters of the financial year.</t>
  </si>
  <si>
    <t xml:space="preserve">     5. If an assessee is employed under more than one employer during the year each of the employers shall issue Part A of the certificate </t>
  </si>
  <si>
    <t xml:space="preserve">         in Form No.16 pertaining to the period for which such assessee was employed with each of the employers.  Part B (Annexure) of </t>
  </si>
  <si>
    <t xml:space="preserve">         the certificate in Form No.16 may be issued by each of the employers or the last employer at the option of the assessee.</t>
  </si>
  <si>
    <t xml:space="preserve">     6. In items I and  II, in column for tax deposited in respect of deductee, furnish total amount of TDS and education cess.</t>
  </si>
  <si>
    <t>AADCT4784E</t>
  </si>
  <si>
    <t>CHET11942A</t>
  </si>
  <si>
    <t>IT-AMOUNT</t>
  </si>
  <si>
    <t>OTHERS</t>
  </si>
  <si>
    <t>DEDUCT PROFESSIONAL TAX/ HIS</t>
  </si>
  <si>
    <t>PVT.LIC</t>
  </si>
  <si>
    <t>Deductions:  a) Tax on Employment &amp; HIS</t>
  </si>
  <si>
    <t>LIMITED TO 1.5 LAKH</t>
  </si>
  <si>
    <t>HBA PRINCIPAL AMT RS 150000/-</t>
  </si>
  <si>
    <t>HBA INTEREST AMT RS.200000/-</t>
  </si>
  <si>
    <t>80 DD SIVERE DISABILITY MAX AMT RS.125000/-</t>
  </si>
  <si>
    <t>80 D MEDICAL INSURANCE MAX AMT.RS. 25000/-</t>
  </si>
  <si>
    <t>TECH EDU. INT AMOUNT UNLIMITED</t>
  </si>
  <si>
    <t>TUTION FEES PER CHILD RS.12000/- ELIGIBLE ( MAXIMUM 2 CHILD)</t>
  </si>
  <si>
    <t xml:space="preserve">ONE DAY SALARY </t>
  </si>
  <si>
    <t>ONE DAY SALARY</t>
  </si>
  <si>
    <t xml:space="preserve"> :  Chennai -  .</t>
  </si>
  <si>
    <t>ABOVE 1000000           30%</t>
  </si>
  <si>
    <t>EDUCATION CESS AT 3%     ( + )</t>
  </si>
  <si>
    <t>2018 SLS</t>
  </si>
  <si>
    <t>250001  TO  500000  5%</t>
  </si>
  <si>
    <t>-NIL-</t>
  </si>
  <si>
    <t>EXECUTIVE ENGINEER</t>
  </si>
  <si>
    <t>EE/NAME</t>
  </si>
  <si>
    <t>06.05.2016</t>
  </si>
  <si>
    <t>07.06.2016</t>
  </si>
  <si>
    <t>12.07.2016</t>
  </si>
  <si>
    <t>09.08.2016</t>
  </si>
  <si>
    <t>07.09.2016</t>
  </si>
  <si>
    <t>07.10.2016</t>
  </si>
  <si>
    <t>05.11.2016</t>
  </si>
  <si>
    <t>07.12.2016</t>
  </si>
  <si>
    <t>07.01.2017</t>
  </si>
  <si>
    <t>07.02.2017</t>
  </si>
  <si>
    <t>07.03.2017</t>
  </si>
  <si>
    <t>RELIEF OF HRA FOR THE YEAR 3/2017 - 2/2018</t>
  </si>
  <si>
    <t>PER MONTH RENT PAID</t>
  </si>
  <si>
    <t>RELIEF OF  H.R.A.</t>
  </si>
  <si>
    <t>R E N T   R E C E I P T</t>
  </si>
  <si>
    <t>CHENNAI-</t>
  </si>
  <si>
    <t>SIGNATURE</t>
  </si>
  <si>
    <t>DATE</t>
  </si>
  <si>
    <t>TAMIL NADU TRANSMISSION CORPORATION LIMITED</t>
  </si>
  <si>
    <t>REC.UP TO</t>
  </si>
  <si>
    <t>P.KOWSHIK,AAO/ADM/EGMORE/CEDC/CENTRAL</t>
  </si>
  <si>
    <t>OTHER CIRCLE RECOVERY</t>
  </si>
  <si>
    <r>
      <rPr>
        <b/>
        <sz val="9"/>
        <color indexed="9"/>
        <rFont val="Tahoma"/>
        <family val="2"/>
      </rPr>
      <t>ii</t>
    </r>
    <r>
      <rPr>
        <b/>
        <sz val="9"/>
        <rFont val="Tahoma"/>
        <family val="2"/>
      </rPr>
      <t>i. I certify that I am residing in own house.</t>
    </r>
  </si>
  <si>
    <t>TOTAL INCOME TAX</t>
  </si>
  <si>
    <t>Signature &amp; Date :</t>
  </si>
  <si>
    <t>BALANCE TO PAID</t>
  </si>
  <si>
    <t>Designation         :</t>
  </si>
  <si>
    <t>Name            :</t>
  </si>
  <si>
    <t>Designation  :</t>
  </si>
  <si>
    <t>House Rent Paid</t>
  </si>
  <si>
    <t>G. Pay</t>
  </si>
  <si>
    <t>Salary (Pay + D.A.)</t>
  </si>
  <si>
    <t>1/10th  of Salary</t>
  </si>
  <si>
    <t>1. Rent Paid in excess of   1/10th of Salary</t>
  </si>
  <si>
    <t>2. House Rent Allowance  received</t>
  </si>
  <si>
    <t>Others</t>
  </si>
  <si>
    <t>3. 50% of Salary if  accommmodation is in
    Chennai</t>
  </si>
  <si>
    <t>GROSS</t>
  </si>
  <si>
    <t>(vide statement overleaf)</t>
  </si>
  <si>
    <t xml:space="preserve">1. Subscription to Provident Fund  </t>
  </si>
  <si>
    <t xml:space="preserve">2. F.S.F.S. and S.P.F.     </t>
  </si>
  <si>
    <t>3. Subscription to P.P.F. (Max.Rs.70,000/-)</t>
  </si>
  <si>
    <t>4. Premium paid to L.I.C.</t>
  </si>
  <si>
    <t>5. Equity Linked Savings Scheme (ELSS)</t>
  </si>
  <si>
    <t>6. Premium paid to P.L.I.</t>
  </si>
  <si>
    <t xml:space="preserve">7. Subscription to U.L.I.P.   </t>
  </si>
  <si>
    <t>8. Private L.I.C.</t>
  </si>
  <si>
    <t xml:space="preserve">9. Tution Fees Paid (Max. 2 Children)  </t>
  </si>
  <si>
    <t xml:space="preserve">10. Refund of Loan taken for the construction of  House  </t>
  </si>
  <si>
    <t xml:space="preserve">11. Pension Scheme of LIC or any other Insurance Co. (Max. Rs.10,000)  </t>
  </si>
  <si>
    <t>12. H.B.A.</t>
  </si>
  <si>
    <t>COMPUTATION OF TOTAL INCOME :</t>
  </si>
  <si>
    <t>1. GROSS SALARY INCLUDING ALLOWANCE  :</t>
  </si>
  <si>
    <t>3. PROFESSION TAX</t>
  </si>
  <si>
    <t xml:space="preserve">4. H.B.A.  INTEREST  ACCRUAL ( MAX. Rs.200000/-) </t>
  </si>
  <si>
    <t>GROSS INCOME</t>
  </si>
  <si>
    <t>TOTAL TAXABLE INCOME</t>
  </si>
  <si>
    <t>DEDUCT: SAVINGS U/S 80 C  AND 80  CCC(1)</t>
  </si>
  <si>
    <t>Deduct:u/s 80CCG (FIRST TIME SHARE INVESTOR)</t>
  </si>
  <si>
    <t>Deduct:Savings u/s 80D (Health Insurance Policy like Mediclaim, Star Health Insurance - Max. Rs.25000/-)</t>
  </si>
  <si>
    <t xml:space="preserve">Deduct:Repayment of Interest on Loan taken for Higher Education for his / her, spouse, children. - U/s.80E  </t>
  </si>
  <si>
    <t xml:space="preserve">Nett. Taxable Income          </t>
  </si>
  <si>
    <t xml:space="preserve">Upto Rs 2,50,000 Nil </t>
  </si>
  <si>
    <t>NIL</t>
  </si>
  <si>
    <t>Rs. 2,50,001 to 5,00,000    10%</t>
  </si>
  <si>
    <t>%</t>
  </si>
  <si>
    <t>Rs. 5,00,001 to 10,00,000   20%</t>
  </si>
  <si>
    <t>Rs. 10,00,001 and above    30%</t>
  </si>
  <si>
    <t xml:space="preserve">Total Tax payable           </t>
  </si>
  <si>
    <r>
      <t>LESS</t>
    </r>
    <r>
      <rPr>
        <b/>
        <sz val="9"/>
        <rFont val="Tahoma"/>
        <family val="2"/>
      </rPr>
      <t xml:space="preserve">: Rebate u/s.87A -     </t>
    </r>
    <r>
      <rPr>
        <b/>
        <sz val="9"/>
        <color indexed="10"/>
        <rFont val="Tahoma"/>
        <family val="2"/>
      </rPr>
      <t xml:space="preserve"> (Rs.5000/- if Taxable Income is &lt; Rs.5,00,000/-)</t>
    </r>
  </si>
  <si>
    <t>Balance Tax</t>
  </si>
  <si>
    <t>E.Cess @ 2% on IT</t>
  </si>
  <si>
    <t>Secondary &amp; Higher E. Cess @ 1% on IT</t>
  </si>
  <si>
    <t xml:space="preserve">Total Tax </t>
  </si>
  <si>
    <t>INCOME TAX OTHER CIRCLE RECOVERY</t>
  </si>
  <si>
    <t xml:space="preserve">Balance Tax </t>
  </si>
  <si>
    <t xml:space="preserve">Tax already recovered     (SE/D/P&amp;C)  </t>
  </si>
  <si>
    <t xml:space="preserve">Balance Tax to be paid </t>
  </si>
  <si>
    <t xml:space="preserve">Designation          :  </t>
  </si>
  <si>
    <t>=VLOOKUP(B4,AW9:AX10,2)</t>
  </si>
  <si>
    <t>=AB212</t>
  </si>
  <si>
    <t xml:space="preserve">     I CERTIFY THAT THE PARTICULARS GIVEN IN SUPORT OF INCOME TAX CALCULATION FOR 2016-2017 ARE CORRECT AND TRUE TO THE BEST OF MY KNOWLEDGE.</t>
  </si>
  <si>
    <r>
      <t>IDBI AND TUTION FEES  ARE ENCLOSED AND THE</t>
    </r>
    <r>
      <rPr>
        <b/>
        <sz val="8"/>
        <rFont val="Arial"/>
        <family val="2"/>
      </rPr>
      <t xml:space="preserve"> PAN No. ALSO SHOULD BE GIVEN.</t>
    </r>
  </si>
  <si>
    <t>RELIEF OF HRA FOR THE YEAR 3/2013 - 2/2014</t>
  </si>
  <si>
    <t>CALCULATION OF INCOME TAX FOR THE YEAR 2017-2018</t>
  </si>
  <si>
    <r>
      <rPr>
        <b/>
        <sz val="9"/>
        <color indexed="9"/>
        <rFont val="Tahoma"/>
        <family val="2"/>
      </rPr>
      <t>i</t>
    </r>
    <r>
      <rPr>
        <b/>
        <sz val="9"/>
        <rFont val="Tahoma"/>
        <family val="2"/>
      </rPr>
      <t>ii. I certify that I have actually paid the rent as shown in the Income Tax calculation for the year 2017-2018 .</t>
    </r>
  </si>
  <si>
    <t xml:space="preserve">iii. I certify that the particulars given in support of Income Tax calculation for the year 2017-2018 
    are correct and true to the best of my knowledge        </t>
  </si>
  <si>
    <t>Relief in HRA for the year 2017-18 (Lowest of 1, 2 &amp; 3 above)</t>
  </si>
  <si>
    <t>2. H.R.A.RELIEF FOR THE YEAR-2017-2018</t>
  </si>
  <si>
    <t>OTHERS   P&amp;C Spl. Pay</t>
  </si>
  <si>
    <t>PP</t>
  </si>
  <si>
    <t>2018 INC.PAY</t>
  </si>
  <si>
    <t>INCOME TAX FOR THE YEAR 2018-2019</t>
  </si>
  <si>
    <t>1.3.2018 PAY</t>
  </si>
  <si>
    <t>D.A.ARRS.FOR THE PERIOD FROM 1/2018 TO 3/2018</t>
  </si>
  <si>
    <t>D.A.ARRS.FOR THE PERIOD FROM 7/2018 TO 9/2018</t>
  </si>
  <si>
    <t>NEW SCALE</t>
  </si>
  <si>
    <t>PAY SCALE</t>
  </si>
  <si>
    <t>EDUCATION CESS AT 4%     ( + )</t>
  </si>
  <si>
    <t>WAGE REVISION ARREARS</t>
  </si>
  <si>
    <t>STANDARD DEDUCTION SEC. 16 (ia)</t>
  </si>
  <si>
    <t>GROSS TOTAL INCOME</t>
  </si>
  <si>
    <t>2020 SLS</t>
  </si>
  <si>
    <t>HIS</t>
  </si>
  <si>
    <t>Standard Deduction - 16(ia)</t>
  </si>
  <si>
    <t>CHET12068A</t>
  </si>
  <si>
    <t>1.3.2020 PAY</t>
  </si>
  <si>
    <t>2020 INC.PAY</t>
  </si>
  <si>
    <t>2021 SLS</t>
  </si>
  <si>
    <t>D.A.ARRS.FOR THE PERIOD FROM 1/2020 TO 2/2020</t>
  </si>
  <si>
    <t xml:space="preserve">     I CERTIFY THAT THE PARTICULARS GIVEN IN SUPORT OF INCOME TAX CALCULATION FOR 2020-2021 ARE CORRECT AND TRUE TO THE BEST OF MY KNOWLEDGE.</t>
  </si>
  <si>
    <t>2021-2022</t>
  </si>
  <si>
    <t>500001  TO 750000  10%</t>
  </si>
  <si>
    <t>1250001  TO 1500000   25%</t>
  </si>
  <si>
    <t>750001  TO 100000        15%</t>
  </si>
  <si>
    <t>1000001  TO 1250000    20%</t>
  </si>
  <si>
    <t>500001  TO 750000        10%</t>
  </si>
  <si>
    <t>250001  TO  500000         5%</t>
  </si>
  <si>
    <t>250001  TO  500000          5%</t>
  </si>
  <si>
    <t>ABOVE 1500000            30%</t>
  </si>
  <si>
    <r>
      <t>IDBI AND TUTION FEES  ARE ENCLOSED AND THE</t>
    </r>
    <r>
      <rPr>
        <b/>
        <sz val="9"/>
        <color indexed="10"/>
        <rFont val="Arial"/>
        <family val="2"/>
      </rPr>
      <t xml:space="preserve"> PAN No. ALSO SHOULD BE GIVEN.</t>
    </r>
  </si>
  <si>
    <t>GROSS AMOUNT</t>
  </si>
  <si>
    <t>WORKING</t>
  </si>
  <si>
    <t>OLD</t>
  </si>
  <si>
    <t>NEW</t>
  </si>
  <si>
    <t>As per New Tax Payers Regime a taxpayer can now choose to opt for the new tax slab for FY 2020-21 AY 2021-22</t>
  </si>
  <si>
    <t>Income Tax Slab for New FY 2020-21</t>
  </si>
  <si>
    <t>New Tax Rate</t>
  </si>
  <si>
    <t>Existing Tax Rate</t>
  </si>
  <si>
    <t>Upto Rs 2.5 Lakhs</t>
  </si>
  <si>
    <t>Exempt</t>
  </si>
  <si>
    <t>Rs 2.5- Rs 5 Lakhs</t>
  </si>
  <si>
    <t>Rs 5- Rs 7.5 Lakhs</t>
  </si>
  <si>
    <t>Rs 7.5 -Rs 10 Lakhs</t>
  </si>
  <si>
    <t>Rs 10 - Rs 12.5 Lakhs</t>
  </si>
  <si>
    <t>Rs 12.5 - Rs 15 Lakhs</t>
  </si>
  <si>
    <t>Above Rs 15 Lakhs</t>
  </si>
  <si>
    <r>
      <t>AND TUTION FEES  ARE ENCLOSED AND THE</t>
    </r>
    <r>
      <rPr>
        <b/>
        <sz val="9"/>
        <rFont val="Arial"/>
        <family val="2"/>
      </rPr>
      <t xml:space="preserve"> PAN No. ALSO SHOULD BE GIVEN.</t>
    </r>
  </si>
  <si>
    <t xml:space="preserve">THE  ABOVE STATEMENT WILL BE ACCEPTED ONLY IF THE ATTESTED COPIES OF THE MEDICLAIM POLICY, H.B.A.INTEREST, L.I.C. PPF, NSC, </t>
  </si>
  <si>
    <t>Education Cess (a) 4% on (tax at S.No.12</t>
  </si>
  <si>
    <t>RETIRED STAFF FROM  1.3.2020 TO 28.2.2021</t>
  </si>
  <si>
    <t xml:space="preserve"> </t>
  </si>
  <si>
    <t>2022-2023</t>
  </si>
  <si>
    <t xml:space="preserve">     I CERTIFY THAT THE PARTICULARS GIVEN IN SUPORT OF INCOME TAX CALCULATION FOR 2021-2022 ARE CORRECT AND TRUE TO THE BEST OF MY KNOWLEDGE.</t>
  </si>
  <si>
    <t>S.BALAJI</t>
  </si>
  <si>
    <t>JE-II</t>
  </si>
  <si>
    <t>110KV NANDANAM SS</t>
  </si>
  <si>
    <t>ABCDE1234Z</t>
  </si>
  <si>
    <t>1.3.2021 PAY</t>
  </si>
  <si>
    <t>2021 INC.PAY</t>
  </si>
  <si>
    <t>2022 SLS</t>
  </si>
  <si>
    <t>INCOME TAX FOR THE YEAR 2021-2022</t>
  </si>
  <si>
    <t>RETIRED STAFF FROM  1.3.2021 TO 28.2.2022</t>
  </si>
  <si>
    <t>D.A.ARRS.FOR THE PERIOD FROM 1/2021 TO 2/2021</t>
  </si>
  <si>
    <t>(01.04.2021 to 31.03.2022)</t>
  </si>
  <si>
    <t>O&amp;M/CHENNAI-2.</t>
  </si>
  <si>
    <t>04/2021</t>
  </si>
  <si>
    <t>07/2021</t>
  </si>
  <si>
    <t>10/2021</t>
  </si>
  <si>
    <t>01/2022</t>
  </si>
  <si>
    <t>06/2021</t>
  </si>
  <si>
    <t>09/2021</t>
  </si>
  <si>
    <t>12/2021</t>
  </si>
  <si>
    <t>03/2022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</si>
</sst>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%"/>
    <numFmt numFmtId="179" formatCode="0.0"/>
    <numFmt numFmtId="180" formatCode="0.000"/>
    <numFmt numFmtId="181" formatCode="[$-409]mmm\-yy;@"/>
    <numFmt numFmtId="182" formatCode="m/d;@"/>
    <numFmt numFmtId="183" formatCode="[$-F800]dddd\,\ mmmm\ dd\,\ yyyy"/>
    <numFmt numFmtId="184" formatCode="[$-14009]dd\ mmmm\ yyyy;@"/>
    <numFmt numFmtId="185" formatCode="[$-409]dddd\,\ mmmm\ d\,\ yyyy"/>
  </numFmts>
  <fonts count="19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u val="single"/>
      <sz val="18"/>
      <name val="Tahoma"/>
      <family val="2"/>
    </font>
    <font>
      <b/>
      <u val="single"/>
      <sz val="11"/>
      <name val="Tahoma"/>
      <family val="2"/>
    </font>
    <font>
      <b/>
      <u val="single"/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sz val="10"/>
      <name val="Tahoma"/>
      <family val="2"/>
    </font>
    <font>
      <u val="single"/>
      <sz val="10"/>
      <name val="Tahoma"/>
      <family val="2"/>
    </font>
    <font>
      <sz val="10"/>
      <color indexed="9"/>
      <name val="Tahoma"/>
      <family val="2"/>
    </font>
    <font>
      <b/>
      <sz val="7.5"/>
      <name val="Tahoma"/>
      <family val="2"/>
    </font>
    <font>
      <b/>
      <sz val="7.5"/>
      <color indexed="9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10"/>
      <name val="Tahoma"/>
      <family val="2"/>
    </font>
    <font>
      <sz val="11"/>
      <color indexed="8"/>
      <name val="Tahoma"/>
      <family val="2"/>
    </font>
    <font>
      <b/>
      <sz val="11"/>
      <color indexed="10"/>
      <name val="Tahoma"/>
      <family val="2"/>
    </font>
    <font>
      <sz val="12"/>
      <name val="Tahoma"/>
      <family val="2"/>
    </font>
    <font>
      <sz val="8"/>
      <color indexed="10"/>
      <name val="Tahoma"/>
      <family val="2"/>
    </font>
    <font>
      <sz val="11"/>
      <color indexed="10"/>
      <name val="Tahoma"/>
      <family val="2"/>
    </font>
    <font>
      <b/>
      <sz val="12"/>
      <color indexed="10"/>
      <name val="Tahoma"/>
      <family val="2"/>
    </font>
    <font>
      <b/>
      <sz val="8"/>
      <name val="Arial"/>
      <family val="2"/>
    </font>
    <font>
      <b/>
      <sz val="10"/>
      <color indexed="10"/>
      <name val="Tahoma"/>
      <family val="2"/>
    </font>
    <font>
      <b/>
      <sz val="8"/>
      <color indexed="10"/>
      <name val="Tahoma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omic Sans MS"/>
      <family val="4"/>
    </font>
    <font>
      <b/>
      <sz val="8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13"/>
      <name val="Arial"/>
      <family val="2"/>
    </font>
    <font>
      <sz val="14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20"/>
      <name val="Arial"/>
      <family val="2"/>
    </font>
    <font>
      <b/>
      <u val="single"/>
      <sz val="10"/>
      <color indexed="10"/>
      <name val="Arial"/>
      <family val="2"/>
    </font>
    <font>
      <u val="single"/>
      <sz val="18"/>
      <name val="Arial"/>
      <family val="2"/>
    </font>
    <font>
      <sz val="11"/>
      <color indexed="40"/>
      <name val="Tahoma"/>
      <family val="2"/>
    </font>
    <font>
      <b/>
      <sz val="9"/>
      <color indexed="10"/>
      <name val="Tahoma"/>
      <family val="2"/>
    </font>
    <font>
      <sz val="10"/>
      <color indexed="10"/>
      <name val="Tahoma"/>
      <family val="2"/>
    </font>
    <font>
      <sz val="12"/>
      <color indexed="10"/>
      <name val="Tahoma"/>
      <family val="2"/>
    </font>
    <font>
      <sz val="12"/>
      <color indexed="10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sz val="12"/>
      <name val="Arial Black"/>
      <family val="2"/>
    </font>
    <font>
      <u val="single"/>
      <sz val="12"/>
      <name val="Arial"/>
      <family val="2"/>
    </font>
    <font>
      <b/>
      <u val="single"/>
      <sz val="9"/>
      <color indexed="10"/>
      <name val="Arial"/>
      <family val="2"/>
    </font>
    <font>
      <b/>
      <sz val="9"/>
      <color indexed="9"/>
      <name val="Tahoma"/>
      <family val="2"/>
    </font>
    <font>
      <b/>
      <u val="single"/>
      <sz val="9"/>
      <name val="Tahoma"/>
      <family val="2"/>
    </font>
    <font>
      <b/>
      <sz val="8"/>
      <color indexed="8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Tahoma"/>
      <family val="2"/>
    </font>
    <font>
      <b/>
      <sz val="10"/>
      <color indexed="56"/>
      <name val="Arial"/>
      <family val="2"/>
    </font>
    <font>
      <b/>
      <sz val="11"/>
      <color indexed="56"/>
      <name val="Arial"/>
      <family val="2"/>
    </font>
    <font>
      <b/>
      <u val="single"/>
      <sz val="12"/>
      <color indexed="10"/>
      <name val="Arial"/>
      <family val="2"/>
    </font>
    <font>
      <sz val="8"/>
      <color indexed="10"/>
      <name val="Arial"/>
      <family val="2"/>
    </font>
    <font>
      <b/>
      <sz val="14"/>
      <color indexed="17"/>
      <name val="Arial"/>
      <family val="2"/>
    </font>
    <font>
      <b/>
      <sz val="11"/>
      <color indexed="10"/>
      <name val="Comic Sans MS"/>
      <family val="4"/>
    </font>
    <font>
      <sz val="11"/>
      <color indexed="10"/>
      <name val="Comic Sans MS"/>
      <family val="4"/>
    </font>
    <font>
      <b/>
      <sz val="12"/>
      <color indexed="36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b/>
      <sz val="9"/>
      <color indexed="13"/>
      <name val="Arial"/>
      <family val="2"/>
    </font>
    <font>
      <sz val="12"/>
      <color indexed="13"/>
      <name val="Arial"/>
      <family val="2"/>
    </font>
    <font>
      <b/>
      <sz val="14"/>
      <color indexed="13"/>
      <name val="Arial"/>
      <family val="2"/>
    </font>
    <font>
      <sz val="9"/>
      <color indexed="13"/>
      <name val="Tahoma"/>
      <family val="2"/>
    </font>
    <font>
      <b/>
      <sz val="11"/>
      <color indexed="13"/>
      <name val="Arial"/>
      <family val="2"/>
    </font>
    <font>
      <sz val="11"/>
      <color indexed="13"/>
      <name val="Comic Sans MS"/>
      <family val="4"/>
    </font>
    <font>
      <sz val="14"/>
      <color indexed="13"/>
      <name val="Arial"/>
      <family val="2"/>
    </font>
    <font>
      <b/>
      <sz val="11"/>
      <color indexed="13"/>
      <name val="Comic Sans MS"/>
      <family val="4"/>
    </font>
    <font>
      <sz val="8"/>
      <color indexed="13"/>
      <name val="Arial"/>
      <family val="2"/>
    </font>
    <font>
      <u val="single"/>
      <sz val="10"/>
      <color indexed="13"/>
      <name val="Arial"/>
      <family val="2"/>
    </font>
    <font>
      <sz val="11"/>
      <color indexed="63"/>
      <name val="Proxima nova rg"/>
      <family val="0"/>
    </font>
    <font>
      <b/>
      <sz val="11"/>
      <color indexed="9"/>
      <name val="Arial"/>
      <family val="2"/>
    </font>
    <font>
      <sz val="11"/>
      <color indexed="63"/>
      <name val="Arial"/>
      <family val="2"/>
    </font>
    <font>
      <sz val="10"/>
      <color indexed="30"/>
      <name val="Arial"/>
      <family val="2"/>
    </font>
    <font>
      <sz val="10"/>
      <color indexed="60"/>
      <name val="Arial"/>
      <family val="2"/>
    </font>
    <font>
      <sz val="10"/>
      <color indexed="36"/>
      <name val="Arial"/>
      <family val="2"/>
    </font>
    <font>
      <b/>
      <u val="single"/>
      <sz val="16"/>
      <color indexed="13"/>
      <name val="Arial"/>
      <family val="2"/>
    </font>
    <font>
      <sz val="9"/>
      <color indexed="10"/>
      <name val="Arial"/>
      <family val="2"/>
    </font>
    <font>
      <b/>
      <sz val="10"/>
      <color indexed="13"/>
      <name val="Tahoma"/>
      <family val="2"/>
    </font>
    <font>
      <u val="single"/>
      <sz val="18"/>
      <color indexed="10"/>
      <name val="Arial"/>
      <family val="2"/>
    </font>
    <font>
      <b/>
      <u val="single"/>
      <sz val="9"/>
      <color indexed="10"/>
      <name val="Tahoma"/>
      <family val="2"/>
    </font>
    <font>
      <b/>
      <sz val="14"/>
      <color indexed="56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Tahoma"/>
      <family val="2"/>
    </font>
    <font>
      <b/>
      <sz val="10"/>
      <color rgb="FF002060"/>
      <name val="Arial"/>
      <family val="2"/>
    </font>
    <font>
      <b/>
      <sz val="11"/>
      <color rgb="FF00206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Tahoma"/>
      <family val="2"/>
    </font>
    <font>
      <b/>
      <sz val="10"/>
      <color rgb="FFFF0000"/>
      <name val="Tahoma"/>
      <family val="2"/>
    </font>
    <font>
      <b/>
      <u val="single"/>
      <sz val="12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4"/>
      <color rgb="FF00B050"/>
      <name val="Arial"/>
      <family val="2"/>
    </font>
    <font>
      <b/>
      <sz val="11"/>
      <color rgb="FFFF0000"/>
      <name val="Comic Sans MS"/>
      <family val="4"/>
    </font>
    <font>
      <sz val="11"/>
      <color rgb="FFFF0000"/>
      <name val="Comic Sans MS"/>
      <family val="4"/>
    </font>
    <font>
      <b/>
      <sz val="12"/>
      <color rgb="FFFFFF00"/>
      <name val="Arial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sz val="11"/>
      <color rgb="FFFF0000"/>
      <name val="Tahoma"/>
      <family val="2"/>
    </font>
    <font>
      <b/>
      <sz val="10"/>
      <color rgb="FFFFFF00"/>
      <name val="Arial"/>
      <family val="2"/>
    </font>
    <font>
      <sz val="10"/>
      <color rgb="FFFFFF00"/>
      <name val="Arial"/>
      <family val="2"/>
    </font>
    <font>
      <b/>
      <sz val="9"/>
      <color rgb="FFFFFF00"/>
      <name val="Arial"/>
      <family val="2"/>
    </font>
    <font>
      <sz val="12"/>
      <color rgb="FFFFFF00"/>
      <name val="Arial"/>
      <family val="2"/>
    </font>
    <font>
      <b/>
      <sz val="14"/>
      <color rgb="FFFFFF00"/>
      <name val="Arial"/>
      <family val="2"/>
    </font>
    <font>
      <sz val="9"/>
      <color rgb="FFFFFF00"/>
      <name val="Tahoma"/>
      <family val="2"/>
    </font>
    <font>
      <b/>
      <sz val="11"/>
      <color rgb="FFFFFF00"/>
      <name val="Arial"/>
      <family val="2"/>
    </font>
    <font>
      <sz val="11"/>
      <color rgb="FFFFFF00"/>
      <name val="Comic Sans MS"/>
      <family val="4"/>
    </font>
    <font>
      <sz val="14"/>
      <color rgb="FFFFFF00"/>
      <name val="Arial"/>
      <family val="2"/>
    </font>
    <font>
      <b/>
      <sz val="11"/>
      <color rgb="FFFFFF00"/>
      <name val="Comic Sans MS"/>
      <family val="4"/>
    </font>
    <font>
      <sz val="8"/>
      <color rgb="FFFFFF00"/>
      <name val="Arial"/>
      <family val="2"/>
    </font>
    <font>
      <u val="single"/>
      <sz val="10"/>
      <color rgb="FFFFFF00"/>
      <name val="Arial"/>
      <family val="2"/>
    </font>
    <font>
      <sz val="12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11"/>
      <color rgb="FFF40D0D"/>
      <name val="Arial"/>
      <family val="2"/>
    </font>
    <font>
      <sz val="11"/>
      <color rgb="FF333333"/>
      <name val="Proxima nova rg"/>
      <family val="0"/>
    </font>
    <font>
      <b/>
      <sz val="11"/>
      <color rgb="FFFFFFFF"/>
      <name val="Arial"/>
      <family val="2"/>
    </font>
    <font>
      <sz val="11"/>
      <color rgb="FF333333"/>
      <name val="Arial"/>
      <family val="2"/>
    </font>
    <font>
      <sz val="10"/>
      <color rgb="FF0070C0"/>
      <name val="Arial"/>
      <family val="2"/>
    </font>
    <font>
      <sz val="10"/>
      <color rgb="FFC00000"/>
      <name val="Arial"/>
      <family val="2"/>
    </font>
    <font>
      <sz val="10"/>
      <color rgb="FF7030A0"/>
      <name val="Arial"/>
      <family val="2"/>
    </font>
    <font>
      <u val="single"/>
      <sz val="18"/>
      <color rgb="FFFF0000"/>
      <name val="Arial"/>
      <family val="2"/>
    </font>
    <font>
      <b/>
      <sz val="10"/>
      <color rgb="FFFFFF00"/>
      <name val="Tahoma"/>
      <family val="2"/>
    </font>
    <font>
      <b/>
      <sz val="8"/>
      <color rgb="FFFF0000"/>
      <name val="Tahoma"/>
      <family val="2"/>
    </font>
    <font>
      <sz val="9"/>
      <color rgb="FFFF0000"/>
      <name val="Arial"/>
      <family val="2"/>
    </font>
    <font>
      <b/>
      <u val="single"/>
      <sz val="16"/>
      <color rgb="FFFFFF00"/>
      <name val="Arial"/>
      <family val="2"/>
    </font>
    <font>
      <b/>
      <sz val="11"/>
      <color rgb="FFFF0000"/>
      <name val="Tahoma"/>
      <family val="2"/>
    </font>
    <font>
      <b/>
      <u val="single"/>
      <sz val="9"/>
      <color rgb="FFFF0000"/>
      <name val="Tahoma"/>
      <family val="2"/>
    </font>
    <font>
      <b/>
      <sz val="12"/>
      <color rgb="FFC00000"/>
      <name val="Arial"/>
      <family val="2"/>
    </font>
    <font>
      <b/>
      <sz val="14"/>
      <color rgb="FF002060"/>
      <name val="Arial"/>
      <family val="2"/>
    </font>
    <font>
      <b/>
      <sz val="14"/>
      <color theme="3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40B97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000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</border>
    <border>
      <left style="medium">
        <color rgb="FFC1C1C1"/>
      </left>
      <right style="medium">
        <color rgb="FFC1C1C1"/>
      </right>
      <top style="medium">
        <color rgb="FFC1C1C1"/>
      </top>
      <bottom style="medium">
        <color rgb="FFC1C1C1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6" fillId="2" borderId="0" applyNumberFormat="0" applyBorder="0" applyAlignment="0" applyProtection="0"/>
    <xf numFmtId="0" fontId="126" fillId="3" borderId="0" applyNumberFormat="0" applyBorder="0" applyAlignment="0" applyProtection="0"/>
    <xf numFmtId="0" fontId="126" fillId="4" borderId="0" applyNumberFormat="0" applyBorder="0" applyAlignment="0" applyProtection="0"/>
    <xf numFmtId="0" fontId="126" fillId="5" borderId="0" applyNumberFormat="0" applyBorder="0" applyAlignment="0" applyProtection="0"/>
    <xf numFmtId="0" fontId="126" fillId="6" borderId="0" applyNumberFormat="0" applyBorder="0" applyAlignment="0" applyProtection="0"/>
    <xf numFmtId="0" fontId="126" fillId="7" borderId="0" applyNumberFormat="0" applyBorder="0" applyAlignment="0" applyProtection="0"/>
    <xf numFmtId="0" fontId="126" fillId="8" borderId="0" applyNumberFormat="0" applyBorder="0" applyAlignment="0" applyProtection="0"/>
    <xf numFmtId="0" fontId="126" fillId="9" borderId="0" applyNumberFormat="0" applyBorder="0" applyAlignment="0" applyProtection="0"/>
    <xf numFmtId="0" fontId="126" fillId="10" borderId="0" applyNumberFormat="0" applyBorder="0" applyAlignment="0" applyProtection="0"/>
    <xf numFmtId="0" fontId="126" fillId="11" borderId="0" applyNumberFormat="0" applyBorder="0" applyAlignment="0" applyProtection="0"/>
    <xf numFmtId="0" fontId="126" fillId="12" borderId="0" applyNumberFormat="0" applyBorder="0" applyAlignment="0" applyProtection="0"/>
    <xf numFmtId="0" fontId="126" fillId="13" borderId="0" applyNumberFormat="0" applyBorder="0" applyAlignment="0" applyProtection="0"/>
    <xf numFmtId="0" fontId="127" fillId="14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7" borderId="0" applyNumberFormat="0" applyBorder="0" applyAlignment="0" applyProtection="0"/>
    <xf numFmtId="0" fontId="127" fillId="18" borderId="0" applyNumberFormat="0" applyBorder="0" applyAlignment="0" applyProtection="0"/>
    <xf numFmtId="0" fontId="127" fillId="19" borderId="0" applyNumberFormat="0" applyBorder="0" applyAlignment="0" applyProtection="0"/>
    <xf numFmtId="0" fontId="127" fillId="20" borderId="0" applyNumberFormat="0" applyBorder="0" applyAlignment="0" applyProtection="0"/>
    <xf numFmtId="0" fontId="127" fillId="21" borderId="0" applyNumberFormat="0" applyBorder="0" applyAlignment="0" applyProtection="0"/>
    <xf numFmtId="0" fontId="127" fillId="22" borderId="0" applyNumberFormat="0" applyBorder="0" applyAlignment="0" applyProtection="0"/>
    <xf numFmtId="0" fontId="127" fillId="23" borderId="0" applyNumberFormat="0" applyBorder="0" applyAlignment="0" applyProtection="0"/>
    <xf numFmtId="0" fontId="127" fillId="24" borderId="0" applyNumberFormat="0" applyBorder="0" applyAlignment="0" applyProtection="0"/>
    <xf numFmtId="0" fontId="128" fillId="25" borderId="0" applyNumberFormat="0" applyBorder="0" applyAlignment="0" applyProtection="0"/>
    <xf numFmtId="0" fontId="129" fillId="26" borderId="1" applyNumberFormat="0" applyAlignment="0" applyProtection="0"/>
    <xf numFmtId="0" fontId="1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2" fillId="28" borderId="0" applyNumberFormat="0" applyBorder="0" applyAlignment="0" applyProtection="0"/>
    <xf numFmtId="0" fontId="133" fillId="0" borderId="3" applyNumberFormat="0" applyFill="0" applyAlignment="0" applyProtection="0"/>
    <xf numFmtId="0" fontId="134" fillId="0" borderId="4" applyNumberFormat="0" applyFill="0" applyAlignment="0" applyProtection="0"/>
    <xf numFmtId="0" fontId="135" fillId="0" borderId="5" applyNumberFormat="0" applyFill="0" applyAlignment="0" applyProtection="0"/>
    <xf numFmtId="0" fontId="13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6" fillId="29" borderId="1" applyNumberFormat="0" applyAlignment="0" applyProtection="0"/>
    <xf numFmtId="0" fontId="137" fillId="0" borderId="6" applyNumberFormat="0" applyFill="0" applyAlignment="0" applyProtection="0"/>
    <xf numFmtId="0" fontId="138" fillId="30" borderId="0" applyNumberFormat="0" applyBorder="0" applyAlignment="0" applyProtection="0"/>
    <xf numFmtId="0" fontId="0" fillId="31" borderId="7" applyNumberFormat="0" applyFont="0" applyAlignment="0" applyProtection="0"/>
    <xf numFmtId="0" fontId="139" fillId="26" borderId="8" applyNumberFormat="0" applyAlignment="0" applyProtection="0"/>
    <xf numFmtId="9" fontId="0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9" applyNumberFormat="0" applyFill="0" applyAlignment="0" applyProtection="0"/>
    <xf numFmtId="0" fontId="142" fillId="0" borderId="0" applyNumberFormat="0" applyFill="0" applyBorder="0" applyAlignment="0" applyProtection="0"/>
  </cellStyleXfs>
  <cellXfs count="2196">
    <xf numFmtId="0" fontId="0" fillId="0" borderId="0" xfId="0" applyAlignment="1">
      <alignment/>
    </xf>
    <xf numFmtId="0" fontId="0" fillId="0" borderId="0" xfId="0" applyBorder="1" applyAlignment="1">
      <alignment/>
    </xf>
    <xf numFmtId="1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center"/>
    </xf>
    <xf numFmtId="17" fontId="7" fillId="32" borderId="11" xfId="0" applyNumberFormat="1" applyFont="1" applyFill="1" applyBorder="1" applyAlignment="1" quotePrefix="1">
      <alignment horizontal="center"/>
    </xf>
    <xf numFmtId="0" fontId="2" fillId="32" borderId="10" xfId="0" applyNumberFormat="1" applyFont="1" applyFill="1" applyBorder="1" applyAlignment="1">
      <alignment horizontal="right"/>
    </xf>
    <xf numFmtId="0" fontId="2" fillId="32" borderId="12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3" xfId="0" applyFill="1" applyBorder="1" applyAlignment="1">
      <alignment/>
    </xf>
    <xf numFmtId="1" fontId="10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0" borderId="13" xfId="0" applyBorder="1" applyAlignment="1">
      <alignment/>
    </xf>
    <xf numFmtId="1" fontId="0" fillId="0" borderId="0" xfId="0" applyNumberFormat="1" applyBorder="1" applyAlignment="1">
      <alignment/>
    </xf>
    <xf numFmtId="0" fontId="13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9" fontId="2" fillId="0" borderId="16" xfId="0" applyNumberFormat="1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 quotePrefix="1">
      <alignment horizontal="center"/>
    </xf>
    <xf numFmtId="1" fontId="10" fillId="0" borderId="0" xfId="0" applyNumberFormat="1" applyFont="1" applyAlignment="1" quotePrefix="1">
      <alignment horizontal="center"/>
    </xf>
    <xf numFmtId="2" fontId="10" fillId="0" borderId="10" xfId="0" applyNumberFormat="1" applyFont="1" applyBorder="1" applyAlignment="1">
      <alignment horizontal="center"/>
    </xf>
    <xf numFmtId="1" fontId="0" fillId="0" borderId="0" xfId="0" applyNumberFormat="1" applyBorder="1" applyAlignment="1" quotePrefix="1">
      <alignment/>
    </xf>
    <xf numFmtId="2" fontId="6" fillId="0" borderId="0" xfId="0" applyNumberFormat="1" applyFont="1" applyBorder="1" applyAlignment="1">
      <alignment/>
    </xf>
    <xf numFmtId="1" fontId="2" fillId="32" borderId="0" xfId="0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4" fillId="32" borderId="18" xfId="0" applyFont="1" applyFill="1" applyBorder="1" applyAlignment="1">
      <alignment/>
    </xf>
    <xf numFmtId="0" fontId="4" fillId="32" borderId="19" xfId="0" applyFont="1" applyFill="1" applyBorder="1" applyAlignment="1">
      <alignment/>
    </xf>
    <xf numFmtId="0" fontId="5" fillId="32" borderId="19" xfId="0" applyFont="1" applyFill="1" applyBorder="1" applyAlignment="1">
      <alignment/>
    </xf>
    <xf numFmtId="0" fontId="4" fillId="32" borderId="2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/>
    </xf>
    <xf numFmtId="1" fontId="2" fillId="0" borderId="28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11" xfId="0" applyBorder="1" applyAlignment="1">
      <alignment horizontal="center"/>
    </xf>
    <xf numFmtId="17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7" xfId="0" applyBorder="1" applyAlignment="1">
      <alignment/>
    </xf>
    <xf numFmtId="2" fontId="8" fillId="0" borderId="10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17" fontId="7" fillId="32" borderId="39" xfId="0" applyNumberFormat="1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7" fontId="7" fillId="32" borderId="21" xfId="0" applyNumberFormat="1" applyFont="1" applyFill="1" applyBorder="1" applyAlignment="1" quotePrefix="1">
      <alignment horizontal="center"/>
    </xf>
    <xf numFmtId="0" fontId="2" fillId="32" borderId="22" xfId="0" applyNumberFormat="1" applyFont="1" applyFill="1" applyBorder="1" applyAlignment="1" quotePrefix="1">
      <alignment horizontal="center"/>
    </xf>
    <xf numFmtId="0" fontId="2" fillId="32" borderId="42" xfId="0" applyNumberFormat="1" applyFont="1" applyFill="1" applyBorder="1" applyAlignment="1" quotePrefix="1">
      <alignment horizontal="center"/>
    </xf>
    <xf numFmtId="2" fontId="0" fillId="0" borderId="43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2" fontId="8" fillId="0" borderId="24" xfId="0" applyNumberFormat="1" applyFont="1" applyBorder="1" applyAlignment="1" quotePrefix="1">
      <alignment horizontal="center"/>
    </xf>
    <xf numFmtId="2" fontId="8" fillId="0" borderId="17" xfId="0" applyNumberFormat="1" applyFont="1" applyBorder="1" applyAlignment="1" quotePrefix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8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17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 vertical="center"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2" fontId="0" fillId="33" borderId="44" xfId="0" applyNumberFormat="1" applyFill="1" applyBorder="1" applyAlignment="1">
      <alignment/>
    </xf>
    <xf numFmtId="0" fontId="2" fillId="33" borderId="45" xfId="0" applyFont="1" applyFill="1" applyBorder="1" applyAlignment="1">
      <alignment horizontal="center"/>
    </xf>
    <xf numFmtId="2" fontId="2" fillId="33" borderId="45" xfId="0" applyNumberFormat="1" applyFont="1" applyFill="1" applyBorder="1" applyAlignment="1">
      <alignment horizontal="center"/>
    </xf>
    <xf numFmtId="0" fontId="2" fillId="33" borderId="45" xfId="0" applyFont="1" applyFill="1" applyBorder="1" applyAlignment="1">
      <alignment/>
    </xf>
    <xf numFmtId="0" fontId="6" fillId="33" borderId="45" xfId="0" applyFont="1" applyFill="1" applyBorder="1" applyAlignment="1">
      <alignment/>
    </xf>
    <xf numFmtId="1" fontId="2" fillId="33" borderId="44" xfId="0" applyNumberFormat="1" applyFont="1" applyFill="1" applyBorder="1" applyAlignment="1">
      <alignment/>
    </xf>
    <xf numFmtId="1" fontId="2" fillId="33" borderId="45" xfId="0" applyNumberFormat="1" applyFont="1" applyFill="1" applyBorder="1" applyAlignment="1">
      <alignment/>
    </xf>
    <xf numFmtId="1" fontId="2" fillId="33" borderId="46" xfId="0" applyNumberFormat="1" applyFont="1" applyFill="1" applyBorder="1" applyAlignment="1">
      <alignment/>
    </xf>
    <xf numFmtId="0" fontId="18" fillId="33" borderId="45" xfId="0" applyFont="1" applyFill="1" applyBorder="1" applyAlignment="1">
      <alignment/>
    </xf>
    <xf numFmtId="1" fontId="19" fillId="33" borderId="37" xfId="0" applyNumberFormat="1" applyFont="1" applyFill="1" applyBorder="1" applyAlignment="1" quotePrefix="1">
      <alignment horizontal="right"/>
    </xf>
    <xf numFmtId="2" fontId="0" fillId="33" borderId="12" xfId="0" applyNumberForma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1" fontId="2" fillId="33" borderId="12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1" fontId="2" fillId="33" borderId="13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1" fontId="19" fillId="33" borderId="10" xfId="0" applyNumberFormat="1" applyFont="1" applyFill="1" applyBorder="1" applyAlignment="1" quotePrefix="1">
      <alignment horizontal="right"/>
    </xf>
    <xf numFmtId="0" fontId="0" fillId="33" borderId="13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1" fontId="2" fillId="33" borderId="20" xfId="0" applyNumberFormat="1" applyFont="1" applyFill="1" applyBorder="1" applyAlignment="1">
      <alignment/>
    </xf>
    <xf numFmtId="0" fontId="0" fillId="33" borderId="27" xfId="0" applyFill="1" applyBorder="1" applyAlignment="1">
      <alignment/>
    </xf>
    <xf numFmtId="181" fontId="2" fillId="0" borderId="10" xfId="0" applyNumberFormat="1" applyFont="1" applyBorder="1" applyAlignment="1">
      <alignment horizontal="center"/>
    </xf>
    <xf numFmtId="1" fontId="0" fillId="33" borderId="0" xfId="0" applyNumberForma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1" fontId="19" fillId="33" borderId="0" xfId="0" applyNumberFormat="1" applyFont="1" applyFill="1" applyBorder="1" applyAlignment="1" quotePrefix="1">
      <alignment horizontal="right"/>
    </xf>
    <xf numFmtId="0" fontId="0" fillId="33" borderId="12" xfId="0" applyFill="1" applyBorder="1" applyAlignment="1">
      <alignment/>
    </xf>
    <xf numFmtId="0" fontId="2" fillId="34" borderId="42" xfId="0" applyNumberFormat="1" applyFont="1" applyFill="1" applyBorder="1" applyAlignment="1" quotePrefix="1">
      <alignment horizontal="center"/>
    </xf>
    <xf numFmtId="0" fontId="0" fillId="35" borderId="38" xfId="0" applyFill="1" applyBorder="1" applyAlignment="1">
      <alignment/>
    </xf>
    <xf numFmtId="0" fontId="2" fillId="33" borderId="0" xfId="0" applyFont="1" applyFill="1" applyBorder="1" applyAlignment="1">
      <alignment/>
    </xf>
    <xf numFmtId="2" fontId="11" fillId="33" borderId="13" xfId="0" applyNumberFormat="1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0" fillId="35" borderId="40" xfId="0" applyFill="1" applyBorder="1" applyAlignment="1">
      <alignment/>
    </xf>
    <xf numFmtId="0" fontId="6" fillId="33" borderId="0" xfId="0" applyFont="1" applyFill="1" applyBorder="1" applyAlignment="1">
      <alignment horizontal="center"/>
    </xf>
    <xf numFmtId="2" fontId="6" fillId="33" borderId="47" xfId="0" applyNumberFormat="1" applyFont="1" applyFill="1" applyBorder="1" applyAlignment="1">
      <alignment/>
    </xf>
    <xf numFmtId="2" fontId="2" fillId="33" borderId="31" xfId="0" applyNumberFormat="1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3" xfId="0" applyFill="1" applyBorder="1" applyAlignment="1">
      <alignment/>
    </xf>
    <xf numFmtId="2" fontId="2" fillId="33" borderId="13" xfId="0" applyNumberFormat="1" applyFont="1" applyFill="1" applyBorder="1" applyAlignment="1">
      <alignment/>
    </xf>
    <xf numFmtId="0" fontId="2" fillId="35" borderId="40" xfId="0" applyFont="1" applyFill="1" applyBorder="1" applyAlignment="1">
      <alignment horizontal="center"/>
    </xf>
    <xf numFmtId="2" fontId="2" fillId="33" borderId="47" xfId="0" applyNumberFormat="1" applyFont="1" applyFill="1" applyBorder="1" applyAlignment="1">
      <alignment/>
    </xf>
    <xf numFmtId="0" fontId="0" fillId="35" borderId="19" xfId="0" applyFill="1" applyBorder="1" applyAlignment="1">
      <alignment/>
    </xf>
    <xf numFmtId="0" fontId="2" fillId="35" borderId="43" xfId="0" applyFont="1" applyFill="1" applyBorder="1" applyAlignment="1">
      <alignment horizontal="center"/>
    </xf>
    <xf numFmtId="1" fontId="11" fillId="33" borderId="0" xfId="0" applyNumberFormat="1" applyFont="1" applyFill="1" applyBorder="1" applyAlignment="1" quotePrefix="1">
      <alignment horizontal="right"/>
    </xf>
    <xf numFmtId="2" fontId="11" fillId="33" borderId="13" xfId="0" applyNumberFormat="1" applyFont="1" applyFill="1" applyBorder="1" applyAlignment="1">
      <alignment/>
    </xf>
    <xf numFmtId="1" fontId="20" fillId="33" borderId="0" xfId="0" applyNumberFormat="1" applyFont="1" applyFill="1" applyBorder="1" applyAlignment="1" quotePrefix="1">
      <alignment horizontal="right"/>
    </xf>
    <xf numFmtId="1" fontId="20" fillId="33" borderId="48" xfId="0" applyNumberFormat="1" applyFont="1" applyFill="1" applyBorder="1" applyAlignment="1">
      <alignment horizontal="right"/>
    </xf>
    <xf numFmtId="2" fontId="11" fillId="33" borderId="47" xfId="0" applyNumberFormat="1" applyFont="1" applyFill="1" applyBorder="1" applyAlignment="1">
      <alignment/>
    </xf>
    <xf numFmtId="0" fontId="0" fillId="35" borderId="20" xfId="0" applyFill="1" applyBorder="1" applyAlignment="1">
      <alignment/>
    </xf>
    <xf numFmtId="17" fontId="7" fillId="33" borderId="0" xfId="0" applyNumberFormat="1" applyFont="1" applyFill="1" applyBorder="1" applyAlignment="1">
      <alignment horizontal="left"/>
    </xf>
    <xf numFmtId="2" fontId="0" fillId="33" borderId="0" xfId="0" applyNumberFormat="1" applyFill="1" applyBorder="1" applyAlignment="1">
      <alignment/>
    </xf>
    <xf numFmtId="0" fontId="0" fillId="32" borderId="10" xfId="0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0" fillId="32" borderId="23" xfId="0" applyFill="1" applyBorder="1" applyAlignment="1">
      <alignment/>
    </xf>
    <xf numFmtId="0" fontId="2" fillId="32" borderId="23" xfId="0" applyFont="1" applyFill="1" applyBorder="1" applyAlignment="1">
      <alignment/>
    </xf>
    <xf numFmtId="0" fontId="2" fillId="32" borderId="23" xfId="0" applyFont="1" applyFill="1" applyBorder="1" applyAlignment="1">
      <alignment horizontal="center"/>
    </xf>
    <xf numFmtId="0" fontId="0" fillId="32" borderId="49" xfId="0" applyFill="1" applyBorder="1" applyAlignment="1">
      <alignment/>
    </xf>
    <xf numFmtId="0" fontId="2" fillId="32" borderId="49" xfId="0" applyFont="1" applyFill="1" applyBorder="1" applyAlignment="1">
      <alignment/>
    </xf>
    <xf numFmtId="0" fontId="2" fillId="32" borderId="41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50" xfId="0" applyBorder="1" applyAlignment="1">
      <alignment/>
    </xf>
    <xf numFmtId="2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2" borderId="37" xfId="0" applyFont="1" applyFill="1" applyBorder="1" applyAlignment="1">
      <alignment horizontal="center"/>
    </xf>
    <xf numFmtId="0" fontId="2" fillId="32" borderId="13" xfId="0" applyFont="1" applyFill="1" applyBorder="1" applyAlignment="1">
      <alignment/>
    </xf>
    <xf numFmtId="1" fontId="6" fillId="32" borderId="0" xfId="0" applyNumberFormat="1" applyFont="1" applyFill="1" applyBorder="1" applyAlignment="1">
      <alignment/>
    </xf>
    <xf numFmtId="0" fontId="6" fillId="0" borderId="0" xfId="0" applyFont="1" applyAlignment="1" quotePrefix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32" borderId="44" xfId="0" applyFont="1" applyFill="1" applyBorder="1" applyAlignment="1">
      <alignment/>
    </xf>
    <xf numFmtId="0" fontId="2" fillId="32" borderId="45" xfId="0" applyFont="1" applyFill="1" applyBorder="1" applyAlignment="1">
      <alignment/>
    </xf>
    <xf numFmtId="0" fontId="2" fillId="32" borderId="46" xfId="0" applyFont="1" applyFill="1" applyBorder="1" applyAlignment="1">
      <alignment/>
    </xf>
    <xf numFmtId="1" fontId="6" fillId="32" borderId="5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13" fillId="32" borderId="0" xfId="0" applyFont="1" applyFill="1" applyBorder="1" applyAlignment="1">
      <alignment/>
    </xf>
    <xf numFmtId="2" fontId="2" fillId="32" borderId="0" xfId="0" applyNumberFormat="1" applyFont="1" applyFill="1" applyBorder="1" applyAlignment="1">
      <alignment/>
    </xf>
    <xf numFmtId="0" fontId="0" fillId="32" borderId="0" xfId="0" applyFont="1" applyFill="1" applyBorder="1" applyAlignment="1">
      <alignment horizontal="left" vertical="top"/>
    </xf>
    <xf numFmtId="0" fontId="2" fillId="32" borderId="0" xfId="0" applyFont="1" applyFill="1" applyBorder="1" applyAlignment="1" quotePrefix="1">
      <alignment horizontal="center"/>
    </xf>
    <xf numFmtId="2" fontId="0" fillId="32" borderId="0" xfId="0" applyNumberFormat="1" applyFont="1" applyFill="1" applyBorder="1" applyAlignment="1">
      <alignment/>
    </xf>
    <xf numFmtId="0" fontId="0" fillId="32" borderId="0" xfId="0" applyFont="1" applyFill="1" applyBorder="1" applyAlignment="1">
      <alignment horizontal="center"/>
    </xf>
    <xf numFmtId="2" fontId="2" fillId="32" borderId="0" xfId="0" applyNumberFormat="1" applyFont="1" applyFill="1" applyBorder="1" applyAlignment="1">
      <alignment horizontal="right"/>
    </xf>
    <xf numFmtId="0" fontId="0" fillId="33" borderId="36" xfId="0" applyFont="1" applyFill="1" applyBorder="1" applyAlignment="1">
      <alignment horizontal="center"/>
    </xf>
    <xf numFmtId="0" fontId="0" fillId="32" borderId="52" xfId="0" applyFont="1" applyFill="1" applyBorder="1" applyAlignment="1">
      <alignment/>
    </xf>
    <xf numFmtId="0" fontId="2" fillId="32" borderId="52" xfId="0" applyFont="1" applyFill="1" applyBorder="1" applyAlignment="1">
      <alignment/>
    </xf>
    <xf numFmtId="2" fontId="0" fillId="32" borderId="37" xfId="0" applyNumberFormat="1" applyFont="1" applyFill="1" applyBorder="1" applyAlignment="1">
      <alignment/>
    </xf>
    <xf numFmtId="0" fontId="0" fillId="33" borderId="53" xfId="0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/>
    </xf>
    <xf numFmtId="2" fontId="0" fillId="32" borderId="54" xfId="0" applyNumberFormat="1" applyFont="1" applyFill="1" applyBorder="1" applyAlignment="1">
      <alignment/>
    </xf>
    <xf numFmtId="0" fontId="0" fillId="33" borderId="55" xfId="0" applyFont="1" applyFill="1" applyBorder="1" applyAlignment="1">
      <alignment horizontal="center"/>
    </xf>
    <xf numFmtId="0" fontId="0" fillId="32" borderId="56" xfId="0" applyFont="1" applyFill="1" applyBorder="1" applyAlignment="1">
      <alignment/>
    </xf>
    <xf numFmtId="0" fontId="2" fillId="32" borderId="56" xfId="0" applyFont="1" applyFill="1" applyBorder="1" applyAlignment="1">
      <alignment/>
    </xf>
    <xf numFmtId="2" fontId="0" fillId="32" borderId="41" xfId="0" applyNumberFormat="1" applyFont="1" applyFill="1" applyBorder="1" applyAlignment="1">
      <alignment/>
    </xf>
    <xf numFmtId="0" fontId="0" fillId="32" borderId="36" xfId="0" applyFont="1" applyFill="1" applyBorder="1" applyAlignment="1">
      <alignment horizontal="center"/>
    </xf>
    <xf numFmtId="0" fontId="0" fillId="32" borderId="29" xfId="0" applyFont="1" applyFill="1" applyBorder="1" applyAlignment="1">
      <alignment/>
    </xf>
    <xf numFmtId="0" fontId="0" fillId="32" borderId="39" xfId="0" applyFont="1" applyFill="1" applyBorder="1" applyAlignment="1">
      <alignment horizontal="center"/>
    </xf>
    <xf numFmtId="0" fontId="0" fillId="32" borderId="57" xfId="0" applyFont="1" applyFill="1" applyBorder="1" applyAlignment="1">
      <alignment/>
    </xf>
    <xf numFmtId="0" fontId="2" fillId="32" borderId="57" xfId="0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0" fillId="32" borderId="31" xfId="0" applyFont="1" applyFill="1" applyBorder="1" applyAlignment="1">
      <alignment/>
    </xf>
    <xf numFmtId="0" fontId="0" fillId="32" borderId="55" xfId="0" applyFont="1" applyFill="1" applyBorder="1" applyAlignment="1">
      <alignment horizontal="center"/>
    </xf>
    <xf numFmtId="0" fontId="0" fillId="32" borderId="34" xfId="0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0" fillId="32" borderId="58" xfId="0" applyFont="1" applyFill="1" applyBorder="1" applyAlignment="1">
      <alignment/>
    </xf>
    <xf numFmtId="0" fontId="0" fillId="0" borderId="58" xfId="0" applyFont="1" applyBorder="1" applyAlignment="1">
      <alignment/>
    </xf>
    <xf numFmtId="0" fontId="2" fillId="32" borderId="58" xfId="0" applyFont="1" applyFill="1" applyBorder="1" applyAlignment="1">
      <alignment/>
    </xf>
    <xf numFmtId="0" fontId="2" fillId="32" borderId="22" xfId="0" applyFont="1" applyFill="1" applyBorder="1" applyAlignment="1">
      <alignment horizontal="center"/>
    </xf>
    <xf numFmtId="2" fontId="0" fillId="32" borderId="22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7" fontId="7" fillId="35" borderId="23" xfId="0" applyNumberFormat="1" applyFont="1" applyFill="1" applyBorder="1" applyAlignment="1" quotePrefix="1">
      <alignment horizontal="center"/>
    </xf>
    <xf numFmtId="0" fontId="0" fillId="35" borderId="23" xfId="0" applyFill="1" applyBorder="1" applyAlignment="1">
      <alignment horizontal="center"/>
    </xf>
    <xf numFmtId="0" fontId="2" fillId="35" borderId="49" xfId="0" applyFont="1" applyFill="1" applyBorder="1" applyAlignment="1">
      <alignment horizontal="center"/>
    </xf>
    <xf numFmtId="17" fontId="7" fillId="34" borderId="59" xfId="0" applyNumberFormat="1" applyFont="1" applyFill="1" applyBorder="1" applyAlignment="1" quotePrefix="1">
      <alignment horizontal="center"/>
    </xf>
    <xf numFmtId="0" fontId="0" fillId="35" borderId="10" xfId="0" applyFill="1" applyBorder="1" applyAlignment="1">
      <alignment/>
    </xf>
    <xf numFmtId="0" fontId="2" fillId="34" borderId="60" xfId="0" applyNumberFormat="1" applyFont="1" applyFill="1" applyBorder="1" applyAlignment="1" quotePrefix="1">
      <alignment horizontal="center"/>
    </xf>
    <xf numFmtId="0" fontId="2" fillId="32" borderId="61" xfId="0" applyNumberFormat="1" applyFont="1" applyFill="1" applyBorder="1" applyAlignment="1" quotePrefix="1">
      <alignment horizontal="center"/>
    </xf>
    <xf numFmtId="0" fontId="2" fillId="34" borderId="10" xfId="0" applyNumberFormat="1" applyFont="1" applyFill="1" applyBorder="1" applyAlignment="1" quotePrefix="1">
      <alignment horizontal="center"/>
    </xf>
    <xf numFmtId="0" fontId="2" fillId="34" borderId="49" xfId="0" applyNumberFormat="1" applyFont="1" applyFill="1" applyBorder="1" applyAlignment="1" quotePrefix="1">
      <alignment horizontal="center"/>
    </xf>
    <xf numFmtId="0" fontId="0" fillId="35" borderId="49" xfId="0" applyFill="1" applyBorder="1" applyAlignment="1">
      <alignment/>
    </xf>
    <xf numFmtId="17" fontId="7" fillId="35" borderId="49" xfId="0" applyNumberFormat="1" applyFont="1" applyFill="1" applyBorder="1" applyAlignment="1" quotePrefix="1">
      <alignment horizontal="center"/>
    </xf>
    <xf numFmtId="0" fontId="0" fillId="33" borderId="10" xfId="0" applyFill="1" applyBorder="1" applyAlignment="1">
      <alignment/>
    </xf>
    <xf numFmtId="0" fontId="2" fillId="32" borderId="10" xfId="0" applyNumberFormat="1" applyFont="1" applyFill="1" applyBorder="1" applyAlignment="1" quotePrefix="1">
      <alignment horizontal="right"/>
    </xf>
    <xf numFmtId="2" fontId="0" fillId="33" borderId="17" xfId="0" applyNumberFormat="1" applyFill="1" applyBorder="1" applyAlignment="1">
      <alignment/>
    </xf>
    <xf numFmtId="0" fontId="25" fillId="0" borderId="0" xfId="0" applyFont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55" xfId="0" applyFont="1" applyBorder="1" applyAlignment="1">
      <alignment vertical="center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23" xfId="0" applyFont="1" applyBorder="1" applyAlignment="1">
      <alignment vertical="top"/>
    </xf>
    <xf numFmtId="0" fontId="28" fillId="0" borderId="10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49" fontId="28" fillId="0" borderId="39" xfId="0" applyNumberFormat="1" applyFont="1" applyBorder="1" applyAlignment="1">
      <alignment vertical="top"/>
    </xf>
    <xf numFmtId="49" fontId="28" fillId="0" borderId="11" xfId="0" applyNumberFormat="1" applyFont="1" applyBorder="1" applyAlignment="1">
      <alignment vertical="center"/>
    </xf>
    <xf numFmtId="0" fontId="28" fillId="0" borderId="57" xfId="0" applyFont="1" applyBorder="1" applyAlignment="1">
      <alignment horizontal="center" vertical="center"/>
    </xf>
    <xf numFmtId="49" fontId="28" fillId="0" borderId="12" xfId="0" applyNumberFormat="1" applyFont="1" applyBorder="1" applyAlignment="1">
      <alignment vertical="top"/>
    </xf>
    <xf numFmtId="0" fontId="28" fillId="0" borderId="62" xfId="0" applyFont="1" applyBorder="1" applyAlignment="1">
      <alignment vertical="top"/>
    </xf>
    <xf numFmtId="0" fontId="28" fillId="0" borderId="48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vertical="top"/>
    </xf>
    <xf numFmtId="49" fontId="28" fillId="0" borderId="32" xfId="0" applyNumberFormat="1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28" fillId="0" borderId="63" xfId="0" applyFont="1" applyBorder="1" applyAlignment="1">
      <alignment vertical="center"/>
    </xf>
    <xf numFmtId="0" fontId="28" fillId="0" borderId="63" xfId="0" applyFont="1" applyBorder="1" applyAlignment="1">
      <alignment vertical="top"/>
    </xf>
    <xf numFmtId="2" fontId="25" fillId="0" borderId="0" xfId="0" applyNumberFormat="1" applyFont="1" applyAlignment="1">
      <alignment vertical="center"/>
    </xf>
    <xf numFmtId="0" fontId="14" fillId="0" borderId="18" xfId="0" applyFont="1" applyBorder="1" applyAlignment="1">
      <alignment horizontal="left" vertical="center"/>
    </xf>
    <xf numFmtId="0" fontId="28" fillId="0" borderId="62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57" xfId="0" applyFont="1" applyBorder="1" applyAlignment="1">
      <alignment vertical="center"/>
    </xf>
    <xf numFmtId="0" fontId="28" fillId="0" borderId="49" xfId="0" applyFont="1" applyBorder="1" applyAlignment="1">
      <alignment vertical="center"/>
    </xf>
    <xf numFmtId="0" fontId="25" fillId="0" borderId="0" xfId="0" applyFont="1" applyAlignment="1">
      <alignment horizontal="center" vertical="top"/>
    </xf>
    <xf numFmtId="0" fontId="28" fillId="0" borderId="18" xfId="0" applyFont="1" applyBorder="1" applyAlignment="1">
      <alignment vertical="center"/>
    </xf>
    <xf numFmtId="0" fontId="28" fillId="0" borderId="64" xfId="0" applyFont="1" applyBorder="1" applyAlignment="1">
      <alignment vertical="center"/>
    </xf>
    <xf numFmtId="0" fontId="28" fillId="0" borderId="19" xfId="0" applyFont="1" applyBorder="1" applyAlignment="1">
      <alignment horizontal="left" vertical="center"/>
    </xf>
    <xf numFmtId="0" fontId="28" fillId="0" borderId="19" xfId="0" applyFont="1" applyBorder="1" applyAlignment="1">
      <alignment vertical="center"/>
    </xf>
    <xf numFmtId="0" fontId="28" fillId="0" borderId="65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8" fillId="0" borderId="44" xfId="0" applyFont="1" applyBorder="1" applyAlignment="1">
      <alignment horizontal="center"/>
    </xf>
    <xf numFmtId="0" fontId="28" fillId="0" borderId="45" xfId="0" applyFont="1" applyBorder="1" applyAlignment="1">
      <alignment/>
    </xf>
    <xf numFmtId="0" fontId="28" fillId="0" borderId="45" xfId="0" applyFont="1" applyBorder="1" applyAlignment="1">
      <alignment vertical="center"/>
    </xf>
    <xf numFmtId="0" fontId="27" fillId="0" borderId="61" xfId="0" applyFont="1" applyBorder="1" applyAlignment="1">
      <alignment horizontal="center" vertical="center" wrapText="1"/>
    </xf>
    <xf numFmtId="0" fontId="28" fillId="0" borderId="19" xfId="0" applyFont="1" applyBorder="1" applyAlignment="1">
      <alignment vertical="top"/>
    </xf>
    <xf numFmtId="0" fontId="25" fillId="0" borderId="0" xfId="0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0" fontId="28" fillId="0" borderId="19" xfId="0" applyFont="1" applyBorder="1" applyAlignment="1">
      <alignment horizontal="center" vertical="center"/>
    </xf>
    <xf numFmtId="0" fontId="28" fillId="0" borderId="54" xfId="0" applyFont="1" applyBorder="1" applyAlignment="1">
      <alignment vertical="center"/>
    </xf>
    <xf numFmtId="49" fontId="28" fillId="0" borderId="66" xfId="0" applyNumberFormat="1" applyFont="1" applyBorder="1" applyAlignment="1">
      <alignment vertical="center"/>
    </xf>
    <xf numFmtId="0" fontId="28" fillId="0" borderId="52" xfId="0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49" fontId="28" fillId="0" borderId="12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4" fillId="0" borderId="39" xfId="0" applyFont="1" applyBorder="1" applyAlignment="1">
      <alignment horizontal="right" vertical="center"/>
    </xf>
    <xf numFmtId="0" fontId="14" fillId="0" borderId="57" xfId="0" applyFont="1" applyBorder="1" applyAlignment="1">
      <alignment vertical="center"/>
    </xf>
    <xf numFmtId="0" fontId="28" fillId="0" borderId="39" xfId="0" applyFont="1" applyBorder="1" applyAlignment="1">
      <alignment vertical="center"/>
    </xf>
    <xf numFmtId="49" fontId="28" fillId="0" borderId="12" xfId="0" applyNumberFormat="1" applyFont="1" applyBorder="1" applyAlignment="1">
      <alignment/>
    </xf>
    <xf numFmtId="0" fontId="28" fillId="0" borderId="0" xfId="0" applyFont="1" applyBorder="1" applyAlignment="1">
      <alignment/>
    </xf>
    <xf numFmtId="49" fontId="28" fillId="0" borderId="67" xfId="0" applyNumberFormat="1" applyFont="1" applyBorder="1" applyAlignment="1">
      <alignment vertical="center"/>
    </xf>
    <xf numFmtId="0" fontId="28" fillId="0" borderId="48" xfId="0" applyFont="1" applyBorder="1" applyAlignment="1">
      <alignment vertical="top"/>
    </xf>
    <xf numFmtId="0" fontId="28" fillId="0" borderId="48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/>
    </xf>
    <xf numFmtId="0" fontId="30" fillId="0" borderId="48" xfId="0" applyFont="1" applyBorder="1" applyAlignment="1">
      <alignment vertical="top"/>
    </xf>
    <xf numFmtId="49" fontId="28" fillId="0" borderId="18" xfId="0" applyNumberFormat="1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28" fillId="0" borderId="55" xfId="0" applyFont="1" applyBorder="1" applyAlignment="1">
      <alignment vertical="center"/>
    </xf>
    <xf numFmtId="0" fontId="27" fillId="0" borderId="59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49" fontId="36" fillId="32" borderId="36" xfId="0" applyNumberFormat="1" applyFont="1" applyFill="1" applyBorder="1" applyAlignment="1">
      <alignment horizontal="center" vertical="center"/>
    </xf>
    <xf numFmtId="0" fontId="25" fillId="32" borderId="37" xfId="0" applyFont="1" applyFill="1" applyBorder="1" applyAlignment="1">
      <alignment vertical="center"/>
    </xf>
    <xf numFmtId="49" fontId="36" fillId="32" borderId="39" xfId="0" applyNumberFormat="1" applyFont="1" applyFill="1" applyBorder="1" applyAlignment="1">
      <alignment horizontal="center" vertical="center"/>
    </xf>
    <xf numFmtId="0" fontId="25" fillId="32" borderId="1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49" fontId="27" fillId="32" borderId="39" xfId="0" applyNumberFormat="1" applyFont="1" applyFill="1" applyBorder="1" applyAlignment="1">
      <alignment horizontal="center" vertical="center"/>
    </xf>
    <xf numFmtId="49" fontId="27" fillId="32" borderId="55" xfId="0" applyNumberFormat="1" applyFont="1" applyFill="1" applyBorder="1" applyAlignment="1">
      <alignment horizontal="center" vertical="center"/>
    </xf>
    <xf numFmtId="0" fontId="25" fillId="32" borderId="41" xfId="0" applyFont="1" applyFill="1" applyBorder="1" applyAlignment="1">
      <alignment vertical="center"/>
    </xf>
    <xf numFmtId="0" fontId="25" fillId="0" borderId="44" xfId="0" applyFont="1" applyBorder="1" applyAlignment="1">
      <alignment vertical="center"/>
    </xf>
    <xf numFmtId="0" fontId="25" fillId="0" borderId="45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1" fontId="25" fillId="0" borderId="69" xfId="0" applyNumberFormat="1" applyFont="1" applyBorder="1" applyAlignment="1">
      <alignment vertical="center"/>
    </xf>
    <xf numFmtId="1" fontId="25" fillId="0" borderId="70" xfId="0" applyNumberFormat="1" applyFont="1" applyBorder="1" applyAlignment="1">
      <alignment vertical="center"/>
    </xf>
    <xf numFmtId="0" fontId="27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vertical="center"/>
    </xf>
    <xf numFmtId="0" fontId="0" fillId="0" borderId="0" xfId="0" applyBorder="1" applyAlignment="1">
      <alignment/>
    </xf>
    <xf numFmtId="0" fontId="27" fillId="0" borderId="0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 quotePrefix="1">
      <alignment vertical="center"/>
    </xf>
    <xf numFmtId="0" fontId="34" fillId="0" borderId="0" xfId="0" applyFont="1" applyBorder="1" applyAlignment="1">
      <alignment vertical="center" wrapText="1"/>
    </xf>
    <xf numFmtId="0" fontId="25" fillId="0" borderId="39" xfId="0" applyFont="1" applyBorder="1" applyAlignment="1">
      <alignment horizontal="center" vertical="center"/>
    </xf>
    <xf numFmtId="0" fontId="25" fillId="0" borderId="10" xfId="0" applyFont="1" applyBorder="1" applyAlignment="1" quotePrefix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39" xfId="0" applyFont="1" applyBorder="1" applyAlignment="1">
      <alignment vertical="center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14" fillId="0" borderId="39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6" fillId="0" borderId="39" xfId="0" applyFont="1" applyBorder="1" applyAlignment="1">
      <alignment vertical="center"/>
    </xf>
    <xf numFmtId="0" fontId="38" fillId="0" borderId="40" xfId="0" applyFont="1" applyBorder="1" applyAlignment="1">
      <alignment vertical="center"/>
    </xf>
    <xf numFmtId="0" fontId="24" fillId="0" borderId="39" xfId="0" applyFont="1" applyBorder="1" applyAlignment="1">
      <alignment vertical="center"/>
    </xf>
    <xf numFmtId="0" fontId="24" fillId="0" borderId="55" xfId="0" applyFont="1" applyBorder="1" applyAlignment="1">
      <alignment vertical="center"/>
    </xf>
    <xf numFmtId="0" fontId="37" fillId="0" borderId="41" xfId="0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39" fillId="36" borderId="0" xfId="0" applyFont="1" applyFill="1" applyBorder="1" applyAlignment="1">
      <alignment vertical="center"/>
    </xf>
    <xf numFmtId="0" fontId="40" fillId="36" borderId="0" xfId="0" applyFont="1" applyFill="1" applyAlignment="1">
      <alignment vertical="center"/>
    </xf>
    <xf numFmtId="0" fontId="25" fillId="36" borderId="0" xfId="0" applyFont="1" applyFill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28" fillId="0" borderId="45" xfId="0" applyFont="1" applyBorder="1" applyAlignment="1">
      <alignment vertical="top"/>
    </xf>
    <xf numFmtId="0" fontId="14" fillId="0" borderId="0" xfId="0" applyFont="1" applyBorder="1" applyAlignment="1">
      <alignment horizontal="center" vertical="top"/>
    </xf>
    <xf numFmtId="0" fontId="14" fillId="32" borderId="57" xfId="0" applyFont="1" applyFill="1" applyBorder="1" applyAlignment="1">
      <alignment vertical="center"/>
    </xf>
    <xf numFmtId="0" fontId="14" fillId="32" borderId="49" xfId="0" applyFont="1" applyFill="1" applyBorder="1" applyAlignment="1">
      <alignment vertical="center"/>
    </xf>
    <xf numFmtId="0" fontId="43" fillId="32" borderId="23" xfId="0" applyFont="1" applyFill="1" applyBorder="1" applyAlignment="1">
      <alignment vertical="center"/>
    </xf>
    <xf numFmtId="1" fontId="45" fillId="32" borderId="71" xfId="0" applyNumberFormat="1" applyFont="1" applyFill="1" applyBorder="1" applyAlignment="1" quotePrefix="1">
      <alignment horizontal="right"/>
    </xf>
    <xf numFmtId="1" fontId="45" fillId="32" borderId="23" xfId="0" applyNumberFormat="1" applyFont="1" applyFill="1" applyBorder="1" applyAlignment="1" quotePrefix="1">
      <alignment horizontal="right"/>
    </xf>
    <xf numFmtId="1" fontId="45" fillId="32" borderId="72" xfId="0" applyNumberFormat="1" applyFont="1" applyFill="1" applyBorder="1" applyAlignment="1">
      <alignment horizontal="right"/>
    </xf>
    <xf numFmtId="0" fontId="0" fillId="32" borderId="48" xfId="0" applyFill="1" applyBorder="1" applyAlignment="1">
      <alignment/>
    </xf>
    <xf numFmtId="0" fontId="0" fillId="0" borderId="0" xfId="0" applyBorder="1" applyAlignment="1">
      <alignment horizontal="right"/>
    </xf>
    <xf numFmtId="0" fontId="46" fillId="0" borderId="0" xfId="53" applyAlignment="1" applyProtection="1">
      <alignment/>
      <protection/>
    </xf>
    <xf numFmtId="0" fontId="0" fillId="37" borderId="0" xfId="0" applyFill="1" applyAlignment="1">
      <alignment/>
    </xf>
    <xf numFmtId="0" fontId="48" fillId="37" borderId="0" xfId="0" applyFont="1" applyFill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 horizontal="center"/>
    </xf>
    <xf numFmtId="1" fontId="7" fillId="0" borderId="73" xfId="0" applyNumberFormat="1" applyFont="1" applyBorder="1" applyAlignment="1">
      <alignment/>
    </xf>
    <xf numFmtId="1" fontId="49" fillId="32" borderId="22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6" fillId="0" borderId="24" xfId="0" applyNumberFormat="1" applyFont="1" applyBorder="1" applyAlignment="1" quotePrefix="1">
      <alignment horizontal="center"/>
    </xf>
    <xf numFmtId="0" fontId="0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0" fontId="11" fillId="32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1" fontId="7" fillId="32" borderId="30" xfId="0" applyNumberFormat="1" applyFont="1" applyFill="1" applyBorder="1" applyAlignment="1">
      <alignment/>
    </xf>
    <xf numFmtId="1" fontId="17" fillId="32" borderId="33" xfId="0" applyNumberFormat="1" applyFont="1" applyFill="1" applyBorder="1" applyAlignment="1">
      <alignment/>
    </xf>
    <xf numFmtId="1" fontId="7" fillId="32" borderId="73" xfId="0" applyNumberFormat="1" applyFont="1" applyFill="1" applyBorder="1" applyAlignment="1">
      <alignment/>
    </xf>
    <xf numFmtId="1" fontId="7" fillId="32" borderId="30" xfId="0" applyNumberFormat="1" applyFont="1" applyFill="1" applyBorder="1" applyAlignment="1">
      <alignment horizontal="right"/>
    </xf>
    <xf numFmtId="1" fontId="2" fillId="32" borderId="30" xfId="0" applyNumberFormat="1" applyFont="1" applyFill="1" applyBorder="1" applyAlignment="1">
      <alignment/>
    </xf>
    <xf numFmtId="1" fontId="7" fillId="32" borderId="33" xfId="0" applyNumberFormat="1" applyFont="1" applyFill="1" applyBorder="1" applyAlignment="1">
      <alignment/>
    </xf>
    <xf numFmtId="1" fontId="2" fillId="32" borderId="14" xfId="0" applyNumberFormat="1" applyFont="1" applyFill="1" applyBorder="1" applyAlignment="1">
      <alignment/>
    </xf>
    <xf numFmtId="1" fontId="7" fillId="32" borderId="28" xfId="0" applyNumberFormat="1" applyFont="1" applyFill="1" applyBorder="1" applyAlignment="1">
      <alignment/>
    </xf>
    <xf numFmtId="1" fontId="7" fillId="32" borderId="17" xfId="0" applyNumberFormat="1" applyFont="1" applyFill="1" applyBorder="1" applyAlignment="1">
      <alignment/>
    </xf>
    <xf numFmtId="1" fontId="7" fillId="32" borderId="43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6" fillId="32" borderId="49" xfId="0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52" fillId="34" borderId="49" xfId="0" applyFont="1" applyFill="1" applyBorder="1" applyAlignment="1">
      <alignment horizontal="center"/>
    </xf>
    <xf numFmtId="0" fontId="52" fillId="38" borderId="49" xfId="0" applyFont="1" applyFill="1" applyBorder="1" applyAlignment="1">
      <alignment/>
    </xf>
    <xf numFmtId="1" fontId="2" fillId="0" borderId="47" xfId="0" applyNumberFormat="1" applyFont="1" applyBorder="1" applyAlignment="1">
      <alignment/>
    </xf>
    <xf numFmtId="1" fontId="2" fillId="0" borderId="31" xfId="0" applyNumberFormat="1" applyFont="1" applyBorder="1" applyAlignment="1">
      <alignment/>
    </xf>
    <xf numFmtId="1" fontId="6" fillId="0" borderId="31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1" fontId="0" fillId="0" borderId="74" xfId="0" applyNumberFormat="1" applyFont="1" applyBorder="1" applyAlignment="1">
      <alignment/>
    </xf>
    <xf numFmtId="1" fontId="53" fillId="0" borderId="15" xfId="0" applyNumberFormat="1" applyFont="1" applyBorder="1" applyAlignment="1">
      <alignment/>
    </xf>
    <xf numFmtId="0" fontId="2" fillId="34" borderId="49" xfId="0" applyFont="1" applyFill="1" applyBorder="1" applyAlignment="1">
      <alignment horizontal="center"/>
    </xf>
    <xf numFmtId="1" fontId="6" fillId="32" borderId="45" xfId="0" applyNumberFormat="1" applyFont="1" applyFill="1" applyBorder="1" applyAlignment="1">
      <alignment/>
    </xf>
    <xf numFmtId="0" fontId="2" fillId="32" borderId="75" xfId="0" applyFont="1" applyFill="1" applyBorder="1" applyAlignment="1">
      <alignment/>
    </xf>
    <xf numFmtId="0" fontId="50" fillId="32" borderId="35" xfId="0" applyFont="1" applyFill="1" applyBorder="1" applyAlignment="1">
      <alignment horizontal="center"/>
    </xf>
    <xf numFmtId="0" fontId="7" fillId="32" borderId="73" xfId="0" applyFont="1" applyFill="1" applyBorder="1" applyAlignment="1">
      <alignment/>
    </xf>
    <xf numFmtId="1" fontId="6" fillId="32" borderId="27" xfId="0" applyNumberFormat="1" applyFont="1" applyFill="1" applyBorder="1" applyAlignment="1">
      <alignment/>
    </xf>
    <xf numFmtId="0" fontId="0" fillId="32" borderId="12" xfId="0" applyFill="1" applyBorder="1" applyAlignment="1">
      <alignment/>
    </xf>
    <xf numFmtId="0" fontId="2" fillId="32" borderId="18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6" fillId="32" borderId="19" xfId="0" applyFont="1" applyFill="1" applyBorder="1" applyAlignment="1">
      <alignment/>
    </xf>
    <xf numFmtId="0" fontId="6" fillId="32" borderId="19" xfId="0" applyFont="1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76" xfId="0" applyFill="1" applyBorder="1" applyAlignment="1">
      <alignment/>
    </xf>
    <xf numFmtId="0" fontId="6" fillId="33" borderId="77" xfId="0" applyFont="1" applyFill="1" applyBorder="1" applyAlignment="1">
      <alignment/>
    </xf>
    <xf numFmtId="0" fontId="0" fillId="33" borderId="43" xfId="0" applyFill="1" applyBorder="1" applyAlignment="1">
      <alignment/>
    </xf>
    <xf numFmtId="17" fontId="7" fillId="4" borderId="67" xfId="0" applyNumberFormat="1" applyFont="1" applyFill="1" applyBorder="1" applyAlignment="1">
      <alignment horizontal="left"/>
    </xf>
    <xf numFmtId="0" fontId="2" fillId="4" borderId="36" xfId="0" applyFont="1" applyFill="1" applyBorder="1" applyAlignment="1">
      <alignment horizontal="right"/>
    </xf>
    <xf numFmtId="0" fontId="2" fillId="4" borderId="37" xfId="0" applyFont="1" applyFill="1" applyBorder="1" applyAlignment="1">
      <alignment/>
    </xf>
    <xf numFmtId="0" fontId="2" fillId="4" borderId="37" xfId="0" applyFont="1" applyFill="1" applyBorder="1" applyAlignment="1" quotePrefix="1">
      <alignment/>
    </xf>
    <xf numFmtId="0" fontId="6" fillId="4" borderId="38" xfId="0" applyFont="1" applyFill="1" applyBorder="1" applyAlignment="1">
      <alignment/>
    </xf>
    <xf numFmtId="1" fontId="2" fillId="4" borderId="48" xfId="0" applyNumberFormat="1" applyFont="1" applyFill="1" applyBorder="1" applyAlignment="1">
      <alignment/>
    </xf>
    <xf numFmtId="17" fontId="7" fillId="4" borderId="11" xfId="0" applyNumberFormat="1" applyFont="1" applyFill="1" applyBorder="1" applyAlignment="1">
      <alignment horizontal="left"/>
    </xf>
    <xf numFmtId="0" fontId="2" fillId="4" borderId="39" xfId="0" applyNumberFormat="1" applyFont="1" applyFill="1" applyBorder="1" applyAlignment="1" quotePrefix="1">
      <alignment horizontal="right"/>
    </xf>
    <xf numFmtId="0" fontId="2" fillId="4" borderId="10" xfId="0" applyFont="1" applyFill="1" applyBorder="1" applyAlignment="1">
      <alignment/>
    </xf>
    <xf numFmtId="0" fontId="2" fillId="4" borderId="40" xfId="0" applyFont="1" applyFill="1" applyBorder="1" applyAlignment="1">
      <alignment/>
    </xf>
    <xf numFmtId="1" fontId="2" fillId="4" borderId="57" xfId="0" applyNumberFormat="1" applyFont="1" applyFill="1" applyBorder="1" applyAlignment="1">
      <alignment/>
    </xf>
    <xf numFmtId="17" fontId="7" fillId="4" borderId="11" xfId="0" applyNumberFormat="1" applyFont="1" applyFill="1" applyBorder="1" applyAlignment="1">
      <alignment horizontal="center"/>
    </xf>
    <xf numFmtId="0" fontId="2" fillId="4" borderId="39" xfId="0" applyFont="1" applyFill="1" applyBorder="1" applyAlignment="1">
      <alignment/>
    </xf>
    <xf numFmtId="17" fontId="7" fillId="4" borderId="11" xfId="0" applyNumberFormat="1" applyFont="1" applyFill="1" applyBorder="1" applyAlignment="1" quotePrefix="1">
      <alignment horizontal="center"/>
    </xf>
    <xf numFmtId="0" fontId="0" fillId="4" borderId="39" xfId="0" applyFill="1" applyBorder="1" applyAlignment="1">
      <alignment/>
    </xf>
    <xf numFmtId="0" fontId="0" fillId="4" borderId="10" xfId="0" applyFill="1" applyBorder="1" applyAlignment="1">
      <alignment/>
    </xf>
    <xf numFmtId="0" fontId="2" fillId="4" borderId="40" xfId="0" applyFont="1" applyFill="1" applyBorder="1" applyAlignment="1">
      <alignment horizontal="right"/>
    </xf>
    <xf numFmtId="1" fontId="2" fillId="4" borderId="57" xfId="0" applyNumberFormat="1" applyFont="1" applyFill="1" applyBorder="1" applyAlignment="1">
      <alignment horizontal="right"/>
    </xf>
    <xf numFmtId="17" fontId="7" fillId="4" borderId="78" xfId="0" applyNumberFormat="1" applyFont="1" applyFill="1" applyBorder="1" applyAlignment="1" quotePrefix="1">
      <alignment horizontal="center"/>
    </xf>
    <xf numFmtId="0" fontId="0" fillId="4" borderId="55" xfId="0" applyFill="1" applyBorder="1" applyAlignment="1">
      <alignment/>
    </xf>
    <xf numFmtId="0" fontId="0" fillId="4" borderId="41" xfId="0" applyFill="1" applyBorder="1" applyAlignment="1">
      <alignment/>
    </xf>
    <xf numFmtId="0" fontId="2" fillId="4" borderId="43" xfId="0" applyFont="1" applyFill="1" applyBorder="1" applyAlignment="1">
      <alignment horizontal="right"/>
    </xf>
    <xf numFmtId="1" fontId="2" fillId="4" borderId="63" xfId="0" applyNumberFormat="1" applyFont="1" applyFill="1" applyBorder="1" applyAlignment="1">
      <alignment horizontal="right"/>
    </xf>
    <xf numFmtId="0" fontId="2" fillId="4" borderId="26" xfId="0" applyFont="1" applyFill="1" applyBorder="1" applyAlignment="1">
      <alignment/>
    </xf>
    <xf numFmtId="0" fontId="2" fillId="4" borderId="76" xfId="0" applyFont="1" applyFill="1" applyBorder="1" applyAlignment="1">
      <alignment/>
    </xf>
    <xf numFmtId="0" fontId="2" fillId="4" borderId="79" xfId="0" applyFont="1" applyFill="1" applyBorder="1" applyAlignment="1">
      <alignment/>
    </xf>
    <xf numFmtId="0" fontId="2" fillId="4" borderId="77" xfId="0" applyFont="1" applyFill="1" applyBorder="1" applyAlignment="1">
      <alignment/>
    </xf>
    <xf numFmtId="1" fontId="2" fillId="4" borderId="58" xfId="0" applyNumberFormat="1" applyFont="1" applyFill="1" applyBorder="1" applyAlignment="1">
      <alignment/>
    </xf>
    <xf numFmtId="0" fontId="42" fillId="39" borderId="80" xfId="0" applyFont="1" applyFill="1" applyBorder="1" applyAlignment="1">
      <alignment horizontal="center"/>
    </xf>
    <xf numFmtId="0" fontId="42" fillId="39" borderId="37" xfId="0" applyFont="1" applyFill="1" applyBorder="1" applyAlignment="1">
      <alignment horizontal="center"/>
    </xf>
    <xf numFmtId="0" fontId="42" fillId="39" borderId="38" xfId="0" applyFont="1" applyFill="1" applyBorder="1" applyAlignment="1">
      <alignment horizontal="center"/>
    </xf>
    <xf numFmtId="0" fontId="42" fillId="39" borderId="81" xfId="0" applyFont="1" applyFill="1" applyBorder="1" applyAlignment="1">
      <alignment horizontal="center"/>
    </xf>
    <xf numFmtId="0" fontId="42" fillId="39" borderId="41" xfId="0" applyFont="1" applyFill="1" applyBorder="1" applyAlignment="1">
      <alignment horizontal="center"/>
    </xf>
    <xf numFmtId="0" fontId="42" fillId="39" borderId="43" xfId="0" applyFont="1" applyFill="1" applyBorder="1" applyAlignment="1">
      <alignment horizontal="center"/>
    </xf>
    <xf numFmtId="1" fontId="6" fillId="39" borderId="82" xfId="0" applyNumberFormat="1" applyFont="1" applyFill="1" applyBorder="1" applyAlignment="1">
      <alignment/>
    </xf>
    <xf numFmtId="0" fontId="6" fillId="39" borderId="35" xfId="0" applyFont="1" applyFill="1" applyBorder="1" applyAlignment="1">
      <alignment/>
    </xf>
    <xf numFmtId="0" fontId="8" fillId="39" borderId="83" xfId="0" applyFont="1" applyFill="1" applyBorder="1" applyAlignment="1">
      <alignment/>
    </xf>
    <xf numFmtId="0" fontId="2" fillId="39" borderId="39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5" fillId="39" borderId="40" xfId="0" applyFont="1" applyFill="1" applyBorder="1" applyAlignment="1">
      <alignment/>
    </xf>
    <xf numFmtId="0" fontId="2" fillId="39" borderId="50" xfId="0" applyFont="1" applyFill="1" applyBorder="1" applyAlignment="1">
      <alignment/>
    </xf>
    <xf numFmtId="0" fontId="2" fillId="39" borderId="24" xfId="0" applyFont="1" applyFill="1" applyBorder="1" applyAlignment="1">
      <alignment/>
    </xf>
    <xf numFmtId="0" fontId="5" fillId="39" borderId="84" xfId="0" applyFont="1" applyFill="1" applyBorder="1" applyAlignment="1">
      <alignment/>
    </xf>
    <xf numFmtId="0" fontId="2" fillId="39" borderId="21" xfId="0" applyFont="1" applyFill="1" applyBorder="1" applyAlignment="1">
      <alignment/>
    </xf>
    <xf numFmtId="0" fontId="2" fillId="39" borderId="22" xfId="0" applyFont="1" applyFill="1" applyBorder="1" applyAlignment="1">
      <alignment/>
    </xf>
    <xf numFmtId="0" fontId="5" fillId="39" borderId="42" xfId="0" applyFont="1" applyFill="1" applyBorder="1" applyAlignment="1">
      <alignment/>
    </xf>
    <xf numFmtId="0" fontId="2" fillId="0" borderId="44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32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2" borderId="12" xfId="0" applyFont="1" applyFill="1" applyBorder="1" applyAlignment="1" quotePrefix="1">
      <alignment/>
    </xf>
    <xf numFmtId="0" fontId="2" fillId="32" borderId="12" xfId="0" applyFont="1" applyFill="1" applyBorder="1" applyAlignment="1" quotePrefix="1">
      <alignment horizontal="left" vertical="top"/>
    </xf>
    <xf numFmtId="0" fontId="2" fillId="32" borderId="12" xfId="0" applyFont="1" applyFill="1" applyBorder="1" applyAlignment="1">
      <alignment horizontal="left" vertical="top"/>
    </xf>
    <xf numFmtId="0" fontId="0" fillId="32" borderId="18" xfId="0" applyFont="1" applyFill="1" applyBorder="1" applyAlignment="1">
      <alignment/>
    </xf>
    <xf numFmtId="0" fontId="0" fillId="32" borderId="19" xfId="0" applyFont="1" applyFill="1" applyBorder="1" applyAlignment="1">
      <alignment/>
    </xf>
    <xf numFmtId="0" fontId="2" fillId="32" borderId="19" xfId="0" applyFont="1" applyFill="1" applyBorder="1" applyAlignment="1">
      <alignment/>
    </xf>
    <xf numFmtId="0" fontId="0" fillId="32" borderId="20" xfId="0" applyFont="1" applyFill="1" applyBorder="1" applyAlignment="1">
      <alignment/>
    </xf>
    <xf numFmtId="0" fontId="50" fillId="32" borderId="19" xfId="0" applyFont="1" applyFill="1" applyBorder="1" applyAlignment="1">
      <alignment/>
    </xf>
    <xf numFmtId="0" fontId="50" fillId="32" borderId="19" xfId="0" applyFont="1" applyFill="1" applyBorder="1" applyAlignment="1">
      <alignment/>
    </xf>
    <xf numFmtId="0" fontId="50" fillId="32" borderId="20" xfId="0" applyFont="1" applyFill="1" applyBorder="1" applyAlignment="1">
      <alignment horizontal="center"/>
    </xf>
    <xf numFmtId="0" fontId="42" fillId="0" borderId="17" xfId="0" applyFont="1" applyBorder="1" applyAlignment="1">
      <alignment horizontal="center" wrapText="1"/>
    </xf>
    <xf numFmtId="1" fontId="54" fillId="32" borderId="19" xfId="0" applyNumberFormat="1" applyFont="1" applyFill="1" applyBorder="1" applyAlignment="1" quotePrefix="1">
      <alignment horizontal="right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1" fillId="40" borderId="10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11" fillId="33" borderId="36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11" fillId="33" borderId="39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11" fillId="33" borderId="55" xfId="0" applyFont="1" applyFill="1" applyBorder="1" applyAlignment="1">
      <alignment/>
    </xf>
    <xf numFmtId="0" fontId="11" fillId="33" borderId="43" xfId="0" applyFont="1" applyFill="1" applyBorder="1" applyAlignment="1">
      <alignment/>
    </xf>
    <xf numFmtId="0" fontId="11" fillId="34" borderId="55" xfId="0" applyFont="1" applyFill="1" applyBorder="1" applyAlignment="1">
      <alignment/>
    </xf>
    <xf numFmtId="0" fontId="11" fillId="34" borderId="43" xfId="0" applyFont="1" applyFill="1" applyBorder="1" applyAlignment="1">
      <alignment/>
    </xf>
    <xf numFmtId="0" fontId="27" fillId="0" borderId="8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49" fontId="36" fillId="32" borderId="82" xfId="0" applyNumberFormat="1" applyFont="1" applyFill="1" applyBorder="1" applyAlignment="1">
      <alignment horizontal="center" vertical="center"/>
    </xf>
    <xf numFmtId="49" fontId="27" fillId="32" borderId="50" xfId="0" applyNumberFormat="1" applyFont="1" applyFill="1" applyBorder="1" applyAlignment="1">
      <alignment horizontal="center" vertical="center"/>
    </xf>
    <xf numFmtId="49" fontId="27" fillId="32" borderId="21" xfId="0" applyNumberFormat="1" applyFont="1" applyFill="1" applyBorder="1" applyAlignment="1">
      <alignment horizontal="center" vertical="center"/>
    </xf>
    <xf numFmtId="0" fontId="25" fillId="32" borderId="22" xfId="0" applyFont="1" applyFill="1" applyBorder="1" applyAlignment="1">
      <alignment vertical="center"/>
    </xf>
    <xf numFmtId="0" fontId="25" fillId="32" borderId="51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1" fontId="0" fillId="0" borderId="49" xfId="0" applyNumberFormat="1" applyBorder="1" applyAlignment="1">
      <alignment horizontal="center" vertical="center"/>
    </xf>
    <xf numFmtId="2" fontId="40" fillId="0" borderId="0" xfId="0" applyNumberFormat="1" applyFont="1" applyAlignment="1">
      <alignment vertical="center"/>
    </xf>
    <xf numFmtId="2" fontId="58" fillId="0" borderId="69" xfId="0" applyNumberFormat="1" applyFont="1" applyBorder="1" applyAlignment="1">
      <alignment vertical="center"/>
    </xf>
    <xf numFmtId="2" fontId="40" fillId="0" borderId="70" xfId="0" applyNumberFormat="1" applyFont="1" applyBorder="1" applyAlignment="1">
      <alignment vertical="center"/>
    </xf>
    <xf numFmtId="1" fontId="59" fillId="32" borderId="41" xfId="0" applyNumberFormat="1" applyFont="1" applyFill="1" applyBorder="1" applyAlignment="1">
      <alignment vertical="center"/>
    </xf>
    <xf numFmtId="1" fontId="37" fillId="32" borderId="37" xfId="0" applyNumberFormat="1" applyFont="1" applyFill="1" applyBorder="1" applyAlignment="1">
      <alignment vertical="center"/>
    </xf>
    <xf numFmtId="1" fontId="37" fillId="32" borderId="10" xfId="0" applyNumberFormat="1" applyFont="1" applyFill="1" applyBorder="1" applyAlignment="1">
      <alignment vertical="center"/>
    </xf>
    <xf numFmtId="2" fontId="43" fillId="0" borderId="10" xfId="0" applyNumberFormat="1" applyFont="1" applyBorder="1" applyAlignment="1">
      <alignment vertical="center"/>
    </xf>
    <xf numFmtId="0" fontId="60" fillId="0" borderId="4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2" fontId="60" fillId="0" borderId="10" xfId="0" applyNumberFormat="1" applyFont="1" applyBorder="1" applyAlignment="1">
      <alignment vertical="center"/>
    </xf>
    <xf numFmtId="2" fontId="43" fillId="0" borderId="40" xfId="0" applyNumberFormat="1" applyFont="1" applyBorder="1" applyAlignment="1">
      <alignment vertical="center"/>
    </xf>
    <xf numFmtId="2" fontId="60" fillId="0" borderId="86" xfId="0" applyNumberFormat="1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2" fontId="60" fillId="0" borderId="87" xfId="0" applyNumberFormat="1" applyFont="1" applyBorder="1" applyAlignment="1">
      <alignment vertical="center"/>
    </xf>
    <xf numFmtId="2" fontId="60" fillId="0" borderId="83" xfId="0" applyNumberFormat="1" applyFont="1" applyBorder="1" applyAlignment="1">
      <alignment vertical="center"/>
    </xf>
    <xf numFmtId="2" fontId="60" fillId="0" borderId="40" xfId="0" applyNumberFormat="1" applyFont="1" applyBorder="1" applyAlignment="1">
      <alignment vertical="center"/>
    </xf>
    <xf numFmtId="0" fontId="60" fillId="0" borderId="24" xfId="0" applyFont="1" applyBorder="1" applyAlignment="1">
      <alignment vertical="center"/>
    </xf>
    <xf numFmtId="0" fontId="60" fillId="0" borderId="35" xfId="0" applyFont="1" applyBorder="1" applyAlignment="1">
      <alignment vertical="center"/>
    </xf>
    <xf numFmtId="2" fontId="60" fillId="0" borderId="47" xfId="0" applyNumberFormat="1" applyFont="1" applyBorder="1" applyAlignment="1">
      <alignment vertical="center"/>
    </xf>
    <xf numFmtId="0" fontId="60" fillId="0" borderId="31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59" fillId="0" borderId="37" xfId="0" applyFont="1" applyBorder="1" applyAlignment="1">
      <alignment horizontal="right" vertical="center"/>
    </xf>
    <xf numFmtId="2" fontId="43" fillId="0" borderId="38" xfId="0" applyNumberFormat="1" applyFont="1" applyBorder="1" applyAlignment="1">
      <alignment vertical="center"/>
    </xf>
    <xf numFmtId="0" fontId="59" fillId="0" borderId="10" xfId="0" applyFont="1" applyBorder="1" applyAlignment="1">
      <alignment horizontal="right" vertical="center"/>
    </xf>
    <xf numFmtId="0" fontId="59" fillId="0" borderId="10" xfId="0" applyFont="1" applyBorder="1" applyAlignment="1">
      <alignment vertical="center"/>
    </xf>
    <xf numFmtId="0" fontId="59" fillId="0" borderId="41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58" fillId="32" borderId="37" xfId="0" applyFont="1" applyFill="1" applyBorder="1" applyAlignment="1">
      <alignment horizontal="center" vertical="center" wrapText="1"/>
    </xf>
    <xf numFmtId="0" fontId="58" fillId="32" borderId="37" xfId="0" applyFont="1" applyFill="1" applyBorder="1" applyAlignment="1" quotePrefix="1">
      <alignment horizontal="center" vertical="center"/>
    </xf>
    <xf numFmtId="0" fontId="58" fillId="32" borderId="37" xfId="0" applyFont="1" applyFill="1" applyBorder="1" applyAlignment="1">
      <alignment horizontal="center" vertical="center"/>
    </xf>
    <xf numFmtId="0" fontId="58" fillId="32" borderId="38" xfId="0" applyFont="1" applyFill="1" applyBorder="1" applyAlignment="1">
      <alignment horizontal="center" vertical="center"/>
    </xf>
    <xf numFmtId="0" fontId="58" fillId="32" borderId="10" xfId="0" applyFont="1" applyFill="1" applyBorder="1" applyAlignment="1">
      <alignment horizontal="center" vertical="center" wrapText="1"/>
    </xf>
    <xf numFmtId="0" fontId="58" fillId="32" borderId="10" xfId="0" applyFont="1" applyFill="1" applyBorder="1" applyAlignment="1" quotePrefix="1">
      <alignment horizontal="center" vertical="center"/>
    </xf>
    <xf numFmtId="0" fontId="58" fillId="32" borderId="10" xfId="0" applyFont="1" applyFill="1" applyBorder="1" applyAlignment="1">
      <alignment horizontal="center" vertical="center"/>
    </xf>
    <xf numFmtId="0" fontId="58" fillId="32" borderId="40" xfId="0" applyFont="1" applyFill="1" applyBorder="1" applyAlignment="1">
      <alignment horizontal="center" vertical="center"/>
    </xf>
    <xf numFmtId="0" fontId="58" fillId="32" borderId="41" xfId="0" applyFont="1" applyFill="1" applyBorder="1" applyAlignment="1">
      <alignment horizontal="center" vertical="center" wrapText="1"/>
    </xf>
    <xf numFmtId="0" fontId="58" fillId="32" borderId="41" xfId="0" applyFont="1" applyFill="1" applyBorder="1" applyAlignment="1" quotePrefix="1">
      <alignment horizontal="center" vertical="center"/>
    </xf>
    <xf numFmtId="0" fontId="58" fillId="32" borderId="41" xfId="0" applyFont="1" applyFill="1" applyBorder="1" applyAlignment="1">
      <alignment horizontal="center" vertical="center"/>
    </xf>
    <xf numFmtId="0" fontId="58" fillId="32" borderId="43" xfId="0" applyFont="1" applyFill="1" applyBorder="1" applyAlignment="1">
      <alignment horizontal="center" vertical="center"/>
    </xf>
    <xf numFmtId="0" fontId="60" fillId="0" borderId="20" xfId="0" applyFont="1" applyBorder="1" applyAlignment="1">
      <alignment vertical="center"/>
    </xf>
    <xf numFmtId="0" fontId="58" fillId="32" borderId="88" xfId="0" applyFont="1" applyFill="1" applyBorder="1" applyAlignment="1" quotePrefix="1">
      <alignment horizontal="center" vertical="center"/>
    </xf>
    <xf numFmtId="0" fontId="58" fillId="32" borderId="35" xfId="0" applyFont="1" applyFill="1" applyBorder="1" applyAlignment="1">
      <alignment horizontal="center" vertical="center"/>
    </xf>
    <xf numFmtId="0" fontId="58" fillId="32" borderId="35" xfId="0" applyFont="1" applyFill="1" applyBorder="1" applyAlignment="1">
      <alignment horizontal="center" vertical="center" wrapText="1"/>
    </xf>
    <xf numFmtId="0" fontId="58" fillId="32" borderId="23" xfId="0" applyFont="1" applyFill="1" applyBorder="1" applyAlignment="1" quotePrefix="1">
      <alignment horizontal="center" vertical="center"/>
    </xf>
    <xf numFmtId="0" fontId="58" fillId="32" borderId="24" xfId="0" applyFont="1" applyFill="1" applyBorder="1" applyAlignment="1">
      <alignment vertical="center"/>
    </xf>
    <xf numFmtId="0" fontId="58" fillId="32" borderId="25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/>
    </xf>
    <xf numFmtId="14" fontId="25" fillId="0" borderId="10" xfId="0" applyNumberFormat="1" applyFont="1" applyBorder="1" applyAlignment="1">
      <alignment horizontal="center" vertical="center"/>
    </xf>
    <xf numFmtId="0" fontId="143" fillId="0" borderId="10" xfId="0" applyFont="1" applyBorder="1" applyAlignment="1">
      <alignment horizontal="center"/>
    </xf>
    <xf numFmtId="0" fontId="144" fillId="0" borderId="37" xfId="0" applyFont="1" applyBorder="1" applyAlignment="1">
      <alignment/>
    </xf>
    <xf numFmtId="1" fontId="2" fillId="0" borderId="36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43" xfId="0" applyBorder="1" applyAlignment="1">
      <alignment/>
    </xf>
    <xf numFmtId="14" fontId="14" fillId="0" borderId="10" xfId="0" applyNumberFormat="1" applyFont="1" applyBorder="1" applyAlignment="1" quotePrefix="1">
      <alignment vertical="center"/>
    </xf>
    <xf numFmtId="0" fontId="145" fillId="0" borderId="10" xfId="0" applyNumberFormat="1" applyFont="1" applyBorder="1" applyAlignment="1">
      <alignment horizontal="center"/>
    </xf>
    <xf numFmtId="2" fontId="146" fillId="0" borderId="40" xfId="0" applyNumberFormat="1" applyFont="1" applyBorder="1" applyAlignment="1">
      <alignment vertical="center"/>
    </xf>
    <xf numFmtId="2" fontId="146" fillId="0" borderId="84" xfId="0" applyNumberFormat="1" applyFont="1" applyBorder="1" applyAlignment="1">
      <alignment vertical="center"/>
    </xf>
    <xf numFmtId="2" fontId="146" fillId="0" borderId="10" xfId="0" applyNumberFormat="1" applyFont="1" applyBorder="1" applyAlignment="1">
      <alignment vertical="center"/>
    </xf>
    <xf numFmtId="183" fontId="25" fillId="0" borderId="10" xfId="0" applyNumberFormat="1" applyFont="1" applyBorder="1" applyAlignment="1" quotePrefix="1">
      <alignment horizontal="center" vertical="center"/>
    </xf>
    <xf numFmtId="0" fontId="15" fillId="0" borderId="10" xfId="0" applyFont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/>
    </xf>
    <xf numFmtId="1" fontId="0" fillId="32" borderId="0" xfId="0" applyNumberFormat="1" applyFont="1" applyFill="1" applyBorder="1" applyAlignment="1">
      <alignment/>
    </xf>
    <xf numFmtId="1" fontId="0" fillId="32" borderId="19" xfId="0" applyNumberFormat="1" applyFont="1" applyFill="1" applyBorder="1" applyAlignment="1">
      <alignment/>
    </xf>
    <xf numFmtId="1" fontId="0" fillId="32" borderId="58" xfId="0" applyNumberFormat="1" applyFont="1" applyFill="1" applyBorder="1" applyAlignment="1">
      <alignment/>
    </xf>
    <xf numFmtId="1" fontId="2" fillId="32" borderId="0" xfId="0" applyNumberFormat="1" applyFont="1" applyFill="1" applyBorder="1" applyAlignment="1">
      <alignment horizontal="center"/>
    </xf>
    <xf numFmtId="0" fontId="64" fillId="0" borderId="0" xfId="0" applyFont="1" applyAlignment="1">
      <alignment/>
    </xf>
    <xf numFmtId="0" fontId="64" fillId="0" borderId="0" xfId="0" applyFont="1" applyAlignment="1">
      <alignment/>
    </xf>
    <xf numFmtId="0" fontId="147" fillId="0" borderId="10" xfId="0" applyFont="1" applyFill="1" applyBorder="1" applyAlignment="1">
      <alignment/>
    </xf>
    <xf numFmtId="0" fontId="148" fillId="0" borderId="10" xfId="0" applyFont="1" applyBorder="1" applyAlignment="1">
      <alignment horizontal="left"/>
    </xf>
    <xf numFmtId="0" fontId="66" fillId="32" borderId="0" xfId="0" applyFont="1" applyFill="1" applyAlignment="1">
      <alignment wrapText="1"/>
    </xf>
    <xf numFmtId="0" fontId="57" fillId="32" borderId="0" xfId="0" applyFont="1" applyFill="1" applyAlignment="1">
      <alignment vertical="center"/>
    </xf>
    <xf numFmtId="184" fontId="149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49" fillId="0" borderId="0" xfId="0" applyFont="1" applyAlignment="1">
      <alignment horizontal="center"/>
    </xf>
    <xf numFmtId="0" fontId="11" fillId="41" borderId="80" xfId="0" applyFont="1" applyFill="1" applyBorder="1" applyAlignment="1">
      <alignment horizontal="center"/>
    </xf>
    <xf numFmtId="0" fontId="42" fillId="41" borderId="37" xfId="0" applyFont="1" applyFill="1" applyBorder="1" applyAlignment="1">
      <alignment horizontal="center"/>
    </xf>
    <xf numFmtId="0" fontId="11" fillId="41" borderId="38" xfId="0" applyFont="1" applyFill="1" applyBorder="1" applyAlignment="1">
      <alignment horizontal="center"/>
    </xf>
    <xf numFmtId="0" fontId="11" fillId="41" borderId="81" xfId="0" applyFont="1" applyFill="1" applyBorder="1" applyAlignment="1">
      <alignment horizontal="center"/>
    </xf>
    <xf numFmtId="0" fontId="42" fillId="41" borderId="41" xfId="0" applyFont="1" applyFill="1" applyBorder="1" applyAlignment="1">
      <alignment horizontal="center"/>
    </xf>
    <xf numFmtId="0" fontId="11" fillId="41" borderId="43" xfId="0" applyFont="1" applyFill="1" applyBorder="1" applyAlignment="1">
      <alignment horizontal="center"/>
    </xf>
    <xf numFmtId="17" fontId="11" fillId="41" borderId="67" xfId="0" applyNumberFormat="1" applyFont="1" applyFill="1" applyBorder="1" applyAlignment="1">
      <alignment horizontal="left"/>
    </xf>
    <xf numFmtId="0" fontId="11" fillId="41" borderId="36" xfId="0" applyFont="1" applyFill="1" applyBorder="1" applyAlignment="1">
      <alignment horizontal="right"/>
    </xf>
    <xf numFmtId="0" fontId="11" fillId="41" borderId="37" xfId="0" applyFont="1" applyFill="1" applyBorder="1" applyAlignment="1">
      <alignment/>
    </xf>
    <xf numFmtId="0" fontId="11" fillId="41" borderId="37" xfId="0" applyFont="1" applyFill="1" applyBorder="1" applyAlignment="1" quotePrefix="1">
      <alignment/>
    </xf>
    <xf numFmtId="0" fontId="150" fillId="41" borderId="37" xfId="0" applyFont="1" applyFill="1" applyBorder="1" applyAlignment="1">
      <alignment/>
    </xf>
    <xf numFmtId="0" fontId="150" fillId="41" borderId="38" xfId="0" applyFont="1" applyFill="1" applyBorder="1" applyAlignment="1">
      <alignment/>
    </xf>
    <xf numFmtId="1" fontId="11" fillId="41" borderId="48" xfId="0" applyNumberFormat="1" applyFont="1" applyFill="1" applyBorder="1" applyAlignment="1">
      <alignment/>
    </xf>
    <xf numFmtId="1" fontId="19" fillId="41" borderId="82" xfId="0" applyNumberFormat="1" applyFont="1" applyFill="1" applyBorder="1" applyAlignment="1">
      <alignment/>
    </xf>
    <xf numFmtId="0" fontId="19" fillId="41" borderId="35" xfId="0" applyFont="1" applyFill="1" applyBorder="1" applyAlignment="1" quotePrefix="1">
      <alignment/>
    </xf>
    <xf numFmtId="0" fontId="19" fillId="41" borderId="35" xfId="0" applyFont="1" applyFill="1" applyBorder="1" applyAlignment="1">
      <alignment/>
    </xf>
    <xf numFmtId="0" fontId="19" fillId="41" borderId="83" xfId="0" applyFont="1" applyFill="1" applyBorder="1" applyAlignment="1">
      <alignment/>
    </xf>
    <xf numFmtId="1" fontId="2" fillId="0" borderId="47" xfId="0" applyNumberFormat="1" applyFont="1" applyBorder="1" applyAlignment="1">
      <alignment/>
    </xf>
    <xf numFmtId="0" fontId="11" fillId="41" borderId="39" xfId="0" applyNumberFormat="1" applyFont="1" applyFill="1" applyBorder="1" applyAlignment="1" quotePrefix="1">
      <alignment horizontal="right"/>
    </xf>
    <xf numFmtId="0" fontId="11" fillId="41" borderId="10" xfId="0" applyFont="1" applyFill="1" applyBorder="1" applyAlignment="1">
      <alignment/>
    </xf>
    <xf numFmtId="0" fontId="11" fillId="41" borderId="10" xfId="0" applyFont="1" applyFill="1" applyBorder="1" applyAlignment="1" quotePrefix="1">
      <alignment horizontal="right"/>
    </xf>
    <xf numFmtId="0" fontId="11" fillId="41" borderId="40" xfId="0" applyFont="1" applyFill="1" applyBorder="1" applyAlignment="1">
      <alignment/>
    </xf>
    <xf numFmtId="1" fontId="11" fillId="41" borderId="57" xfId="0" applyNumberFormat="1" applyFont="1" applyFill="1" applyBorder="1" applyAlignment="1">
      <alignment/>
    </xf>
    <xf numFmtId="1" fontId="2" fillId="0" borderId="31" xfId="0" applyNumberFormat="1" applyFont="1" applyBorder="1" applyAlignment="1">
      <alignment/>
    </xf>
    <xf numFmtId="0" fontId="8" fillId="41" borderId="10" xfId="0" applyFont="1" applyFill="1" applyBorder="1" applyAlignment="1">
      <alignment horizontal="center"/>
    </xf>
    <xf numFmtId="0" fontId="11" fillId="41" borderId="39" xfId="0" applyNumberFormat="1" applyFont="1" applyFill="1" applyBorder="1" applyAlignment="1">
      <alignment horizontal="right"/>
    </xf>
    <xf numFmtId="0" fontId="11" fillId="41" borderId="39" xfId="0" applyFont="1" applyFill="1" applyBorder="1" applyAlignment="1">
      <alignment/>
    </xf>
    <xf numFmtId="0" fontId="149" fillId="0" borderId="23" xfId="0" applyFont="1" applyBorder="1" applyAlignment="1">
      <alignment/>
    </xf>
    <xf numFmtId="0" fontId="151" fillId="0" borderId="49" xfId="0" applyFont="1" applyBorder="1" applyAlignment="1">
      <alignment horizontal="center"/>
    </xf>
    <xf numFmtId="0" fontId="2" fillId="41" borderId="49" xfId="0" applyFont="1" applyFill="1" applyBorder="1" applyAlignment="1">
      <alignment horizontal="center"/>
    </xf>
    <xf numFmtId="2" fontId="6" fillId="0" borderId="24" xfId="0" applyNumberFormat="1" applyFont="1" applyBorder="1" applyAlignment="1" quotePrefix="1">
      <alignment horizontal="center"/>
    </xf>
    <xf numFmtId="2" fontId="11" fillId="42" borderId="13" xfId="0" applyNumberFormat="1" applyFont="1" applyFill="1" applyBorder="1" applyAlignment="1">
      <alignment horizontal="right"/>
    </xf>
    <xf numFmtId="1" fontId="6" fillId="0" borderId="31" xfId="0" applyNumberFormat="1" applyFont="1" applyBorder="1" applyAlignment="1">
      <alignment/>
    </xf>
    <xf numFmtId="0" fontId="2" fillId="0" borderId="19" xfId="0" applyFont="1" applyBorder="1" applyAlignment="1">
      <alignment/>
    </xf>
    <xf numFmtId="2" fontId="2" fillId="42" borderId="13" xfId="0" applyNumberFormat="1" applyFont="1" applyFill="1" applyBorder="1" applyAlignment="1">
      <alignment/>
    </xf>
    <xf numFmtId="17" fontId="11" fillId="41" borderId="11" xfId="0" applyNumberFormat="1" applyFont="1" applyFill="1" applyBorder="1" applyAlignment="1">
      <alignment horizontal="center"/>
    </xf>
    <xf numFmtId="0" fontId="2" fillId="0" borderId="58" xfId="0" applyFont="1" applyBorder="1" applyAlignment="1">
      <alignment/>
    </xf>
    <xf numFmtId="17" fontId="11" fillId="41" borderId="11" xfId="0" applyNumberFormat="1" applyFont="1" applyFill="1" applyBorder="1" applyAlignment="1" quotePrefix="1">
      <alignment horizontal="center"/>
    </xf>
    <xf numFmtId="0" fontId="12" fillId="41" borderId="39" xfId="0" applyFont="1" applyFill="1" applyBorder="1" applyAlignment="1">
      <alignment/>
    </xf>
    <xf numFmtId="0" fontId="12" fillId="41" borderId="10" xfId="0" applyFont="1" applyFill="1" applyBorder="1" applyAlignment="1">
      <alignment/>
    </xf>
    <xf numFmtId="0" fontId="11" fillId="41" borderId="40" xfId="0" applyFont="1" applyFill="1" applyBorder="1" applyAlignment="1">
      <alignment horizontal="right"/>
    </xf>
    <xf numFmtId="1" fontId="11" fillId="41" borderId="57" xfId="0" applyNumberFormat="1" applyFont="1" applyFill="1" applyBorder="1" applyAlignment="1">
      <alignment horizontal="right"/>
    </xf>
    <xf numFmtId="1" fontId="0" fillId="0" borderId="31" xfId="0" applyNumberFormat="1" applyFont="1" applyBorder="1" applyAlignment="1">
      <alignment/>
    </xf>
    <xf numFmtId="0" fontId="52" fillId="41" borderId="49" xfId="0" applyFont="1" applyFill="1" applyBorder="1" applyAlignment="1">
      <alignment horizontal="center"/>
    </xf>
    <xf numFmtId="17" fontId="11" fillId="41" borderId="78" xfId="0" applyNumberFormat="1" applyFont="1" applyFill="1" applyBorder="1" applyAlignment="1" quotePrefix="1">
      <alignment horizontal="center"/>
    </xf>
    <xf numFmtId="0" fontId="12" fillId="41" borderId="55" xfId="0" applyFont="1" applyFill="1" applyBorder="1" applyAlignment="1">
      <alignment/>
    </xf>
    <xf numFmtId="0" fontId="12" fillId="41" borderId="41" xfId="0" applyFont="1" applyFill="1" applyBorder="1" applyAlignment="1">
      <alignment/>
    </xf>
    <xf numFmtId="0" fontId="11" fillId="41" borderId="43" xfId="0" applyFont="1" applyFill="1" applyBorder="1" applyAlignment="1">
      <alignment horizontal="right"/>
    </xf>
    <xf numFmtId="1" fontId="11" fillId="41" borderId="63" xfId="0" applyNumberFormat="1" applyFont="1" applyFill="1" applyBorder="1" applyAlignment="1">
      <alignment horizontal="right"/>
    </xf>
    <xf numFmtId="0" fontId="11" fillId="41" borderId="50" xfId="0" applyFont="1" applyFill="1" applyBorder="1" applyAlignment="1">
      <alignment/>
    </xf>
    <xf numFmtId="0" fontId="11" fillId="41" borderId="24" xfId="0" applyFont="1" applyFill="1" applyBorder="1" applyAlignment="1">
      <alignment/>
    </xf>
    <xf numFmtId="0" fontId="11" fillId="41" borderId="84" xfId="0" applyFont="1" applyFill="1" applyBorder="1" applyAlignment="1">
      <alignment/>
    </xf>
    <xf numFmtId="1" fontId="0" fillId="0" borderId="74" xfId="0" applyNumberFormat="1" applyFont="1" applyBorder="1" applyAlignment="1">
      <alignment/>
    </xf>
    <xf numFmtId="0" fontId="52" fillId="41" borderId="49" xfId="0" applyFont="1" applyFill="1" applyBorder="1" applyAlignment="1">
      <alignment/>
    </xf>
    <xf numFmtId="0" fontId="11" fillId="41" borderId="26" xfId="0" applyFont="1" applyFill="1" applyBorder="1" applyAlignment="1">
      <alignment/>
    </xf>
    <xf numFmtId="0" fontId="11" fillId="41" borderId="76" xfId="0" applyFont="1" applyFill="1" applyBorder="1" applyAlignment="1">
      <alignment/>
    </xf>
    <xf numFmtId="0" fontId="11" fillId="41" borderId="79" xfId="0" applyFont="1" applyFill="1" applyBorder="1" applyAlignment="1">
      <alignment/>
    </xf>
    <xf numFmtId="1" fontId="11" fillId="41" borderId="58" xfId="0" applyNumberFormat="1" applyFont="1" applyFill="1" applyBorder="1" applyAlignment="1">
      <alignment/>
    </xf>
    <xf numFmtId="0" fontId="11" fillId="41" borderId="21" xfId="0" applyFont="1" applyFill="1" applyBorder="1" applyAlignment="1">
      <alignment/>
    </xf>
    <xf numFmtId="0" fontId="11" fillId="41" borderId="22" xfId="0" applyFont="1" applyFill="1" applyBorder="1" applyAlignment="1">
      <alignment/>
    </xf>
    <xf numFmtId="0" fontId="11" fillId="41" borderId="42" xfId="0" applyFont="1" applyFill="1" applyBorder="1" applyAlignment="1">
      <alignment/>
    </xf>
    <xf numFmtId="1" fontId="6" fillId="32" borderId="27" xfId="0" applyNumberFormat="1" applyFont="1" applyFill="1" applyBorder="1" applyAlignment="1">
      <alignment/>
    </xf>
    <xf numFmtId="1" fontId="0" fillId="41" borderId="49" xfId="0" applyNumberFormat="1" applyFill="1" applyBorder="1" applyAlignment="1">
      <alignment horizontal="center" vertical="center"/>
    </xf>
    <xf numFmtId="0" fontId="11" fillId="32" borderId="44" xfId="0" applyFont="1" applyFill="1" applyBorder="1" applyAlignment="1">
      <alignment/>
    </xf>
    <xf numFmtId="0" fontId="11" fillId="32" borderId="45" xfId="0" applyFont="1" applyFill="1" applyBorder="1" applyAlignment="1">
      <alignment/>
    </xf>
    <xf numFmtId="0" fontId="11" fillId="32" borderId="46" xfId="0" applyFont="1" applyFill="1" applyBorder="1" applyAlignment="1">
      <alignment/>
    </xf>
    <xf numFmtId="1" fontId="19" fillId="32" borderId="45" xfId="0" applyNumberFormat="1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32" borderId="13" xfId="0" applyFont="1" applyFill="1" applyBorder="1" applyAlignment="1">
      <alignment/>
    </xf>
    <xf numFmtId="1" fontId="19" fillId="32" borderId="0" xfId="0" applyNumberFormat="1" applyFont="1" applyFill="1" applyBorder="1" applyAlignment="1">
      <alignment/>
    </xf>
    <xf numFmtId="0" fontId="12" fillId="32" borderId="12" xfId="0" applyFont="1" applyFill="1" applyBorder="1" applyAlignment="1">
      <alignment/>
    </xf>
    <xf numFmtId="0" fontId="19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2" fillId="32" borderId="13" xfId="0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45" fillId="32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1" fillId="32" borderId="18" xfId="0" applyFont="1" applyFill="1" applyBorder="1" applyAlignment="1">
      <alignment/>
    </xf>
    <xf numFmtId="0" fontId="19" fillId="32" borderId="19" xfId="0" applyFont="1" applyFill="1" applyBorder="1" applyAlignment="1">
      <alignment/>
    </xf>
    <xf numFmtId="0" fontId="45" fillId="32" borderId="19" xfId="0" applyFont="1" applyFill="1" applyBorder="1" applyAlignment="1">
      <alignment/>
    </xf>
    <xf numFmtId="1" fontId="45" fillId="32" borderId="19" xfId="0" applyNumberFormat="1" applyFont="1" applyFill="1" applyBorder="1" applyAlignment="1" quotePrefix="1">
      <alignment horizontal="right"/>
    </xf>
    <xf numFmtId="0" fontId="45" fillId="32" borderId="20" xfId="0" applyFont="1" applyFill="1" applyBorder="1" applyAlignment="1">
      <alignment horizontal="center"/>
    </xf>
    <xf numFmtId="1" fontId="11" fillId="32" borderId="0" xfId="0" applyNumberFormat="1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9" fillId="32" borderId="0" xfId="0" applyFont="1" applyFill="1" applyBorder="1" applyAlignment="1">
      <alignment/>
    </xf>
    <xf numFmtId="0" fontId="45" fillId="32" borderId="0" xfId="0" applyFont="1" applyFill="1" applyBorder="1" applyAlignment="1">
      <alignment/>
    </xf>
    <xf numFmtId="1" fontId="45" fillId="32" borderId="0" xfId="0" applyNumberFormat="1" applyFont="1" applyFill="1" applyBorder="1" applyAlignment="1" quotePrefix="1">
      <alignment horizontal="right"/>
    </xf>
    <xf numFmtId="0" fontId="45" fillId="32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33" fillId="0" borderId="0" xfId="0" applyFont="1" applyAlignment="1">
      <alignment horizontal="left" vertical="center" wrapText="1"/>
    </xf>
    <xf numFmtId="1" fontId="0" fillId="0" borderId="0" xfId="0" applyNumberFormat="1" applyAlignment="1">
      <alignment horizontal="center"/>
    </xf>
    <xf numFmtId="0" fontId="46" fillId="0" borderId="0" xfId="53" applyFont="1" applyAlignment="1" applyProtection="1">
      <alignment/>
      <protection/>
    </xf>
    <xf numFmtId="0" fontId="34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17" fontId="0" fillId="0" borderId="0" xfId="0" applyNumberFormat="1" applyFont="1" applyAlignment="1" quotePrefix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0" fontId="15" fillId="0" borderId="10" xfId="0" applyFont="1" applyFill="1" applyBorder="1" applyAlignment="1">
      <alignment vertical="center" wrapText="1"/>
    </xf>
    <xf numFmtId="0" fontId="0" fillId="0" borderId="48" xfId="0" applyBorder="1" applyAlignment="1">
      <alignment/>
    </xf>
    <xf numFmtId="0" fontId="0" fillId="0" borderId="0" xfId="0" applyFill="1" applyBorder="1" applyAlignment="1">
      <alignment/>
    </xf>
    <xf numFmtId="0" fontId="15" fillId="0" borderId="10" xfId="0" applyFont="1" applyBorder="1" applyAlignment="1">
      <alignment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1" fontId="14" fillId="0" borderId="24" xfId="0" applyNumberFormat="1" applyFont="1" applyBorder="1" applyAlignment="1">
      <alignment horizontal="right"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1" fontId="14" fillId="0" borderId="42" xfId="0" applyNumberFormat="1" applyFont="1" applyBorder="1" applyAlignment="1">
      <alignment horizontal="right" vertical="center"/>
    </xf>
    <xf numFmtId="0" fontId="33" fillId="0" borderId="25" xfId="0" applyFont="1" applyBorder="1" applyAlignment="1">
      <alignment horizontal="center" vertical="center"/>
    </xf>
    <xf numFmtId="0" fontId="33" fillId="0" borderId="89" xfId="0" applyFont="1" applyBorder="1" applyAlignment="1">
      <alignment vertical="center"/>
    </xf>
    <xf numFmtId="0" fontId="11" fillId="0" borderId="89" xfId="0" applyFont="1" applyBorder="1" applyAlignment="1">
      <alignment/>
    </xf>
    <xf numFmtId="0" fontId="33" fillId="0" borderId="62" xfId="0" applyFont="1" applyBorder="1" applyAlignment="1">
      <alignment horizontal="center" vertical="center"/>
    </xf>
    <xf numFmtId="0" fontId="33" fillId="0" borderId="86" xfId="0" applyFont="1" applyBorder="1" applyAlignment="1">
      <alignment vertical="center"/>
    </xf>
    <xf numFmtId="0" fontId="11" fillId="0" borderId="86" xfId="0" applyFont="1" applyBorder="1" applyAlignment="1">
      <alignment/>
    </xf>
    <xf numFmtId="0" fontId="152" fillId="0" borderId="62" xfId="0" applyFont="1" applyBorder="1" applyAlignment="1">
      <alignment horizontal="center" vertical="center"/>
    </xf>
    <xf numFmtId="0" fontId="152" fillId="0" borderId="86" xfId="0" applyFont="1" applyBorder="1" applyAlignment="1">
      <alignment vertical="center"/>
    </xf>
    <xf numFmtId="0" fontId="150" fillId="0" borderId="86" xfId="0" applyFont="1" applyBorder="1" applyAlignment="1">
      <alignment/>
    </xf>
    <xf numFmtId="0" fontId="11" fillId="0" borderId="75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9" xfId="0" applyFont="1" applyBorder="1" applyAlignment="1">
      <alignment/>
    </xf>
    <xf numFmtId="1" fontId="11" fillId="0" borderId="89" xfId="0" applyNumberFormat="1" applyFont="1" applyBorder="1" applyAlignment="1">
      <alignment/>
    </xf>
    <xf numFmtId="0" fontId="33" fillId="19" borderId="62" xfId="0" applyFont="1" applyFill="1" applyBorder="1" applyAlignment="1">
      <alignment horizontal="center" vertical="center"/>
    </xf>
    <xf numFmtId="0" fontId="33" fillId="19" borderId="86" xfId="0" applyFont="1" applyFill="1" applyBorder="1" applyAlignment="1">
      <alignment vertical="center"/>
    </xf>
    <xf numFmtId="1" fontId="11" fillId="0" borderId="86" xfId="0" applyNumberFormat="1" applyFont="1" applyBorder="1" applyAlignment="1">
      <alignment/>
    </xf>
    <xf numFmtId="1" fontId="14" fillId="0" borderId="89" xfId="0" applyNumberFormat="1" applyFont="1" applyBorder="1" applyAlignment="1">
      <alignment vertical="center"/>
    </xf>
    <xf numFmtId="0" fontId="26" fillId="0" borderId="88" xfId="0" applyFont="1" applyBorder="1" applyAlignment="1">
      <alignment horizontal="center" vertical="center"/>
    </xf>
    <xf numFmtId="0" fontId="26" fillId="0" borderId="75" xfId="0" applyFont="1" applyBorder="1" applyAlignment="1">
      <alignment vertical="center"/>
    </xf>
    <xf numFmtId="1" fontId="14" fillId="0" borderId="75" xfId="0" applyNumberFormat="1" applyFont="1" applyBorder="1" applyAlignment="1">
      <alignment vertical="center"/>
    </xf>
    <xf numFmtId="1" fontId="153" fillId="0" borderId="75" xfId="0" applyNumberFormat="1" applyFont="1" applyBorder="1" applyAlignment="1">
      <alignment vertical="center"/>
    </xf>
    <xf numFmtId="0" fontId="2" fillId="0" borderId="86" xfId="0" applyFont="1" applyBorder="1" applyAlignment="1">
      <alignment/>
    </xf>
    <xf numFmtId="0" fontId="33" fillId="0" borderId="88" xfId="0" applyFont="1" applyBorder="1" applyAlignment="1">
      <alignment horizontal="center" vertical="center"/>
    </xf>
    <xf numFmtId="0" fontId="33" fillId="0" borderId="75" xfId="0" applyFont="1" applyBorder="1" applyAlignment="1">
      <alignment vertical="center"/>
    </xf>
    <xf numFmtId="1" fontId="14" fillId="0" borderId="35" xfId="0" applyNumberFormat="1" applyFont="1" applyBorder="1" applyAlignment="1">
      <alignment vertical="center"/>
    </xf>
    <xf numFmtId="0" fontId="33" fillId="0" borderId="23" xfId="0" applyFont="1" applyBorder="1" applyAlignment="1">
      <alignment horizontal="center" vertical="center"/>
    </xf>
    <xf numFmtId="0" fontId="33" fillId="0" borderId="49" xfId="0" applyFont="1" applyBorder="1" applyAlignment="1">
      <alignment vertical="center"/>
    </xf>
    <xf numFmtId="1" fontId="35" fillId="0" borderId="49" xfId="0" applyNumberFormat="1" applyFont="1" applyBorder="1" applyAlignment="1">
      <alignment/>
    </xf>
    <xf numFmtId="0" fontId="33" fillId="0" borderId="62" xfId="0" applyFont="1" applyBorder="1" applyAlignment="1">
      <alignment vertical="center" wrapText="1"/>
    </xf>
    <xf numFmtId="0" fontId="33" fillId="0" borderId="86" xfId="0" applyFont="1" applyBorder="1" applyAlignment="1" quotePrefix="1">
      <alignment vertical="center" wrapText="1"/>
    </xf>
    <xf numFmtId="0" fontId="149" fillId="0" borderId="86" xfId="0" applyFont="1" applyBorder="1" applyAlignment="1">
      <alignment/>
    </xf>
    <xf numFmtId="0" fontId="33" fillId="0" borderId="62" xfId="0" applyFont="1" applyBorder="1" applyAlignment="1">
      <alignment vertical="center"/>
    </xf>
    <xf numFmtId="0" fontId="7" fillId="0" borderId="49" xfId="0" applyFont="1" applyBorder="1" applyAlignment="1">
      <alignment/>
    </xf>
    <xf numFmtId="1" fontId="154" fillId="32" borderId="49" xfId="0" applyNumberFormat="1" applyFont="1" applyFill="1" applyBorder="1" applyAlignment="1" quotePrefix="1">
      <alignment/>
    </xf>
    <xf numFmtId="1" fontId="7" fillId="0" borderId="49" xfId="0" applyNumberFormat="1" applyFont="1" applyBorder="1" applyAlignment="1">
      <alignment/>
    </xf>
    <xf numFmtId="0" fontId="7" fillId="0" borderId="86" xfId="0" applyFont="1" applyBorder="1" applyAlignment="1">
      <alignment/>
    </xf>
    <xf numFmtId="1" fontId="7" fillId="0" borderId="89" xfId="0" applyNumberFormat="1" applyFont="1" applyBorder="1" applyAlignment="1">
      <alignment/>
    </xf>
    <xf numFmtId="0" fontId="151" fillId="0" borderId="49" xfId="0" applyFont="1" applyBorder="1" applyAlignment="1">
      <alignment/>
    </xf>
    <xf numFmtId="1" fontId="151" fillId="0" borderId="49" xfId="0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32" borderId="73" xfId="0" applyFont="1" applyFill="1" applyBorder="1" applyAlignment="1">
      <alignment/>
    </xf>
    <xf numFmtId="1" fontId="155" fillId="32" borderId="17" xfId="0" applyNumberFormat="1" applyFont="1" applyFill="1" applyBorder="1" applyAlignment="1">
      <alignment/>
    </xf>
    <xf numFmtId="0" fontId="42" fillId="32" borderId="75" xfId="0" applyFont="1" applyFill="1" applyBorder="1" applyAlignment="1">
      <alignment/>
    </xf>
    <xf numFmtId="0" fontId="70" fillId="32" borderId="35" xfId="0" applyFont="1" applyFill="1" applyBorder="1" applyAlignment="1">
      <alignment horizontal="center"/>
    </xf>
    <xf numFmtId="0" fontId="42" fillId="32" borderId="73" xfId="0" applyFont="1" applyFill="1" applyBorder="1" applyAlignment="1">
      <alignment/>
    </xf>
    <xf numFmtId="0" fontId="42" fillId="32" borderId="30" xfId="0" applyFont="1" applyFill="1" applyBorder="1" applyAlignment="1">
      <alignment horizontal="center"/>
    </xf>
    <xf numFmtId="1" fontId="42" fillId="32" borderId="73" xfId="0" applyNumberFormat="1" applyFont="1" applyFill="1" applyBorder="1" applyAlignment="1">
      <alignment/>
    </xf>
    <xf numFmtId="0" fontId="42" fillId="32" borderId="49" xfId="0" applyFont="1" applyFill="1" applyBorder="1" applyAlignment="1">
      <alignment/>
    </xf>
    <xf numFmtId="0" fontId="53" fillId="32" borderId="10" xfId="0" applyFont="1" applyFill="1" applyBorder="1" applyAlignment="1">
      <alignment horizontal="center"/>
    </xf>
    <xf numFmtId="0" fontId="42" fillId="32" borderId="23" xfId="0" applyFont="1" applyFill="1" applyBorder="1" applyAlignment="1">
      <alignment horizontal="center"/>
    </xf>
    <xf numFmtId="1" fontId="42" fillId="32" borderId="30" xfId="0" applyNumberFormat="1" applyFont="1" applyFill="1" applyBorder="1" applyAlignment="1">
      <alignment/>
    </xf>
    <xf numFmtId="0" fontId="42" fillId="32" borderId="23" xfId="0" applyFont="1" applyFill="1" applyBorder="1" applyAlignment="1" quotePrefix="1">
      <alignment horizontal="center"/>
    </xf>
    <xf numFmtId="1" fontId="53" fillId="32" borderId="33" xfId="0" applyNumberFormat="1" applyFont="1" applyFill="1" applyBorder="1" applyAlignment="1">
      <alignment/>
    </xf>
    <xf numFmtId="0" fontId="53" fillId="32" borderId="23" xfId="0" applyFont="1" applyFill="1" applyBorder="1" applyAlignment="1">
      <alignment horizontal="center"/>
    </xf>
    <xf numFmtId="1" fontId="53" fillId="32" borderId="30" xfId="0" applyNumberFormat="1" applyFont="1" applyFill="1" applyBorder="1" applyAlignment="1">
      <alignment/>
    </xf>
    <xf numFmtId="1" fontId="53" fillId="32" borderId="33" xfId="0" applyNumberFormat="1" applyFont="1" applyFill="1" applyBorder="1" applyAlignment="1" quotePrefix="1">
      <alignment horizontal="right"/>
    </xf>
    <xf numFmtId="0" fontId="44" fillId="32" borderId="23" xfId="0" applyFont="1" applyFill="1" applyBorder="1" applyAlignment="1">
      <alignment vertical="center"/>
    </xf>
    <xf numFmtId="0" fontId="15" fillId="32" borderId="57" xfId="0" applyFont="1" applyFill="1" applyBorder="1" applyAlignment="1">
      <alignment vertical="center"/>
    </xf>
    <xf numFmtId="0" fontId="15" fillId="32" borderId="49" xfId="0" applyFont="1" applyFill="1" applyBorder="1" applyAlignment="1">
      <alignment vertical="center"/>
    </xf>
    <xf numFmtId="0" fontId="1" fillId="32" borderId="57" xfId="0" applyFont="1" applyFill="1" applyBorder="1" applyAlignment="1">
      <alignment/>
    </xf>
    <xf numFmtId="0" fontId="42" fillId="32" borderId="10" xfId="0" applyFont="1" applyFill="1" applyBorder="1" applyAlignment="1">
      <alignment/>
    </xf>
    <xf numFmtId="0" fontId="42" fillId="32" borderId="30" xfId="0" applyFont="1" applyFill="1" applyBorder="1" applyAlignment="1">
      <alignment/>
    </xf>
    <xf numFmtId="0" fontId="42" fillId="32" borderId="10" xfId="0" applyFont="1" applyFill="1" applyBorder="1" applyAlignment="1">
      <alignment horizontal="center"/>
    </xf>
    <xf numFmtId="0" fontId="1" fillId="32" borderId="23" xfId="0" applyFont="1" applyFill="1" applyBorder="1" applyAlignment="1">
      <alignment/>
    </xf>
    <xf numFmtId="1" fontId="42" fillId="32" borderId="30" xfId="0" applyNumberFormat="1" applyFont="1" applyFill="1" applyBorder="1" applyAlignment="1">
      <alignment horizontal="right"/>
    </xf>
    <xf numFmtId="0" fontId="42" fillId="32" borderId="23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1" fontId="42" fillId="0" borderId="73" xfId="0" applyNumberFormat="1" applyFont="1" applyBorder="1" applyAlignment="1">
      <alignment/>
    </xf>
    <xf numFmtId="1" fontId="42" fillId="32" borderId="33" xfId="0" applyNumberFormat="1" applyFont="1" applyFill="1" applyBorder="1" applyAlignment="1">
      <alignment/>
    </xf>
    <xf numFmtId="1" fontId="42" fillId="32" borderId="14" xfId="0" applyNumberFormat="1" applyFont="1" applyFill="1" applyBorder="1" applyAlignment="1">
      <alignment/>
    </xf>
    <xf numFmtId="1" fontId="70" fillId="32" borderId="71" xfId="0" applyNumberFormat="1" applyFont="1" applyFill="1" applyBorder="1" applyAlignment="1" quotePrefix="1">
      <alignment horizontal="right"/>
    </xf>
    <xf numFmtId="1" fontId="42" fillId="32" borderId="28" xfId="0" applyNumberFormat="1" applyFont="1" applyFill="1" applyBorder="1" applyAlignment="1">
      <alignment/>
    </xf>
    <xf numFmtId="1" fontId="70" fillId="32" borderId="23" xfId="0" applyNumberFormat="1" applyFont="1" applyFill="1" applyBorder="1" applyAlignment="1" quotePrefix="1">
      <alignment horizontal="right"/>
    </xf>
    <xf numFmtId="1" fontId="70" fillId="32" borderId="72" xfId="0" applyNumberFormat="1" applyFont="1" applyFill="1" applyBorder="1" applyAlignment="1" quotePrefix="1">
      <alignment horizontal="right"/>
    </xf>
    <xf numFmtId="0" fontId="1" fillId="32" borderId="30" xfId="0" applyFont="1" applyFill="1" applyBorder="1" applyAlignment="1">
      <alignment/>
    </xf>
    <xf numFmtId="0" fontId="1" fillId="32" borderId="49" xfId="0" applyFont="1" applyFill="1" applyBorder="1" applyAlignment="1">
      <alignment/>
    </xf>
    <xf numFmtId="1" fontId="53" fillId="32" borderId="51" xfId="0" applyNumberFormat="1" applyFont="1" applyFill="1" applyBorder="1" applyAlignment="1">
      <alignment horizontal="right"/>
    </xf>
    <xf numFmtId="1" fontId="42" fillId="32" borderId="17" xfId="0" applyNumberFormat="1" applyFont="1" applyFill="1" applyBorder="1" applyAlignment="1">
      <alignment/>
    </xf>
    <xf numFmtId="1" fontId="42" fillId="32" borderId="43" xfId="0" applyNumberFormat="1" applyFont="1" applyFill="1" applyBorder="1" applyAlignment="1" quotePrefix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32" borderId="48" xfId="0" applyFont="1" applyFill="1" applyBorder="1" applyAlignment="1">
      <alignment/>
    </xf>
    <xf numFmtId="0" fontId="1" fillId="0" borderId="36" xfId="0" applyFont="1" applyBorder="1" applyAlignment="1">
      <alignment/>
    </xf>
    <xf numFmtId="0" fontId="156" fillId="0" borderId="37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0" xfId="0" applyFont="1" applyBorder="1" applyAlignment="1">
      <alignment/>
    </xf>
    <xf numFmtId="1" fontId="49" fillId="32" borderId="15" xfId="0" applyNumberFormat="1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5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32" borderId="18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42" fillId="32" borderId="19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42" fillId="0" borderId="0" xfId="0" applyFont="1" applyAlignment="1">
      <alignment/>
    </xf>
    <xf numFmtId="1" fontId="5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3" fillId="0" borderId="0" xfId="0" applyFont="1" applyAlignment="1">
      <alignment/>
    </xf>
    <xf numFmtId="2" fontId="5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7" xfId="0" applyFont="1" applyBorder="1" applyAlignment="1">
      <alignment/>
    </xf>
    <xf numFmtId="2" fontId="42" fillId="0" borderId="66" xfId="0" applyNumberFormat="1" applyFont="1" applyBorder="1" applyAlignment="1">
      <alignment horizontal="center"/>
    </xf>
    <xf numFmtId="0" fontId="53" fillId="0" borderId="88" xfId="0" applyFont="1" applyBorder="1" applyAlignment="1">
      <alignment horizontal="center"/>
    </xf>
    <xf numFmtId="1" fontId="42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11" xfId="0" applyFont="1" applyBorder="1" applyAlignment="1">
      <alignment horizontal="center"/>
    </xf>
    <xf numFmtId="17" fontId="1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2" fontId="42" fillId="0" borderId="0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72" fillId="0" borderId="0" xfId="0" applyFont="1" applyBorder="1" applyAlignment="1">
      <alignment/>
    </xf>
    <xf numFmtId="0" fontId="42" fillId="0" borderId="0" xfId="0" applyFont="1" applyBorder="1" applyAlignment="1">
      <alignment/>
    </xf>
    <xf numFmtId="2" fontId="42" fillId="0" borderId="0" xfId="0" applyNumberFormat="1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44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32" borderId="12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42" fillId="32" borderId="0" xfId="0" applyFont="1" applyFill="1" applyBorder="1" applyAlignment="1">
      <alignment horizontal="center"/>
    </xf>
    <xf numFmtId="0" fontId="72" fillId="32" borderId="0" xfId="0" applyFont="1" applyFill="1" applyBorder="1" applyAlignment="1">
      <alignment/>
    </xf>
    <xf numFmtId="0" fontId="42" fillId="32" borderId="0" xfId="0" applyFont="1" applyFill="1" applyBorder="1" applyAlignment="1">
      <alignment/>
    </xf>
    <xf numFmtId="2" fontId="42" fillId="32" borderId="0" xfId="0" applyNumberFormat="1" applyFont="1" applyFill="1" applyBorder="1" applyAlignment="1">
      <alignment/>
    </xf>
    <xf numFmtId="0" fontId="42" fillId="32" borderId="13" xfId="0" applyFont="1" applyFill="1" applyBorder="1" applyAlignment="1">
      <alignment/>
    </xf>
    <xf numFmtId="0" fontId="1" fillId="32" borderId="0" xfId="0" applyFont="1" applyFill="1" applyBorder="1" applyAlignment="1">
      <alignment horizontal="left" vertical="top"/>
    </xf>
    <xf numFmtId="0" fontId="42" fillId="32" borderId="0" xfId="0" applyFont="1" applyFill="1" applyBorder="1" applyAlignment="1" quotePrefix="1">
      <alignment horizontal="center"/>
    </xf>
    <xf numFmtId="2" fontId="1" fillId="32" borderId="0" xfId="0" applyNumberFormat="1" applyFont="1" applyFill="1" applyBorder="1" applyAlignment="1">
      <alignment/>
    </xf>
    <xf numFmtId="2" fontId="1" fillId="32" borderId="19" xfId="0" applyNumberFormat="1" applyFont="1" applyFill="1" applyBorder="1" applyAlignment="1">
      <alignment/>
    </xf>
    <xf numFmtId="2" fontId="1" fillId="32" borderId="58" xfId="0" applyNumberFormat="1" applyFont="1" applyFill="1" applyBorder="1" applyAlignment="1">
      <alignment/>
    </xf>
    <xf numFmtId="1" fontId="53" fillId="32" borderId="0" xfId="0" applyNumberFormat="1" applyFont="1" applyFill="1" applyBorder="1" applyAlignment="1">
      <alignment/>
    </xf>
    <xf numFmtId="0" fontId="1" fillId="32" borderId="12" xfId="0" applyFont="1" applyFill="1" applyBorder="1" applyAlignment="1">
      <alignment horizontal="center"/>
    </xf>
    <xf numFmtId="2" fontId="42" fillId="32" borderId="0" xfId="0" applyNumberFormat="1" applyFont="1" applyFill="1" applyBorder="1" applyAlignment="1">
      <alignment horizontal="right"/>
    </xf>
    <xf numFmtId="0" fontId="53" fillId="0" borderId="0" xfId="0" applyFont="1" applyAlignment="1" quotePrefix="1">
      <alignment/>
    </xf>
    <xf numFmtId="2" fontId="53" fillId="32" borderId="0" xfId="0" applyNumberFormat="1" applyFont="1" applyFill="1" applyBorder="1" applyAlignment="1">
      <alignment/>
    </xf>
    <xf numFmtId="0" fontId="1" fillId="32" borderId="12" xfId="0" applyFont="1" applyFill="1" applyBorder="1" applyAlignment="1" quotePrefix="1">
      <alignment/>
    </xf>
    <xf numFmtId="0" fontId="1" fillId="32" borderId="0" xfId="0" applyFont="1" applyFill="1" applyBorder="1" applyAlignment="1">
      <alignment horizontal="center"/>
    </xf>
    <xf numFmtId="2" fontId="42" fillId="32" borderId="0" xfId="0" applyNumberFormat="1" applyFont="1" applyFill="1" applyBorder="1" applyAlignment="1">
      <alignment horizontal="center"/>
    </xf>
    <xf numFmtId="0" fontId="42" fillId="32" borderId="12" xfId="0" applyFont="1" applyFill="1" applyBorder="1" applyAlignment="1">
      <alignment/>
    </xf>
    <xf numFmtId="0" fontId="42" fillId="32" borderId="12" xfId="0" applyFont="1" applyFill="1" applyBorder="1" applyAlignment="1" quotePrefix="1">
      <alignment horizontal="left" vertical="top"/>
    </xf>
    <xf numFmtId="0" fontId="42" fillId="32" borderId="12" xfId="0" applyFont="1" applyFill="1" applyBorder="1" applyAlignment="1">
      <alignment horizontal="left" vertical="top"/>
    </xf>
    <xf numFmtId="0" fontId="1" fillId="33" borderId="36" xfId="0" applyFont="1" applyFill="1" applyBorder="1" applyAlignment="1">
      <alignment horizontal="center"/>
    </xf>
    <xf numFmtId="0" fontId="1" fillId="32" borderId="52" xfId="0" applyFont="1" applyFill="1" applyBorder="1" applyAlignment="1">
      <alignment/>
    </xf>
    <xf numFmtId="0" fontId="42" fillId="32" borderId="52" xfId="0" applyFont="1" applyFill="1" applyBorder="1" applyAlignment="1">
      <alignment/>
    </xf>
    <xf numFmtId="2" fontId="1" fillId="32" borderId="37" xfId="0" applyNumberFormat="1" applyFont="1" applyFill="1" applyBorder="1" applyAlignment="1">
      <alignment/>
    </xf>
    <xf numFmtId="0" fontId="1" fillId="33" borderId="53" xfId="0" applyFont="1" applyFill="1" applyBorder="1" applyAlignment="1">
      <alignment horizontal="center"/>
    </xf>
    <xf numFmtId="0" fontId="42" fillId="32" borderId="35" xfId="0" applyFont="1" applyFill="1" applyBorder="1" applyAlignment="1">
      <alignment horizontal="center"/>
    </xf>
    <xf numFmtId="2" fontId="1" fillId="32" borderId="54" xfId="0" applyNumberFormat="1" applyFont="1" applyFill="1" applyBorder="1" applyAlignment="1">
      <alignment/>
    </xf>
    <xf numFmtId="0" fontId="1" fillId="33" borderId="55" xfId="0" applyFont="1" applyFill="1" applyBorder="1" applyAlignment="1">
      <alignment horizontal="center"/>
    </xf>
    <xf numFmtId="0" fontId="1" fillId="32" borderId="56" xfId="0" applyFont="1" applyFill="1" applyBorder="1" applyAlignment="1">
      <alignment/>
    </xf>
    <xf numFmtId="0" fontId="42" fillId="32" borderId="56" xfId="0" applyFont="1" applyFill="1" applyBorder="1" applyAlignment="1">
      <alignment/>
    </xf>
    <xf numFmtId="2" fontId="1" fillId="32" borderId="41" xfId="0" applyNumberFormat="1" applyFont="1" applyFill="1" applyBorder="1" applyAlignment="1">
      <alignment/>
    </xf>
    <xf numFmtId="0" fontId="1" fillId="32" borderId="36" xfId="0" applyFont="1" applyFill="1" applyBorder="1" applyAlignment="1">
      <alignment horizontal="center"/>
    </xf>
    <xf numFmtId="0" fontId="1" fillId="32" borderId="29" xfId="0" applyFont="1" applyFill="1" applyBorder="1" applyAlignment="1">
      <alignment/>
    </xf>
    <xf numFmtId="0" fontId="1" fillId="32" borderId="39" xfId="0" applyFont="1" applyFill="1" applyBorder="1" applyAlignment="1">
      <alignment horizontal="center"/>
    </xf>
    <xf numFmtId="0" fontId="1" fillId="32" borderId="57" xfId="0" applyFont="1" applyFill="1" applyBorder="1" applyAlignment="1">
      <alignment/>
    </xf>
    <xf numFmtId="0" fontId="42" fillId="32" borderId="57" xfId="0" applyFont="1" applyFill="1" applyBorder="1" applyAlignment="1">
      <alignment/>
    </xf>
    <xf numFmtId="2" fontId="1" fillId="32" borderId="10" xfId="0" applyNumberFormat="1" applyFont="1" applyFill="1" applyBorder="1" applyAlignment="1">
      <alignment/>
    </xf>
    <xf numFmtId="0" fontId="1" fillId="32" borderId="31" xfId="0" applyFont="1" applyFill="1" applyBorder="1" applyAlignment="1">
      <alignment/>
    </xf>
    <xf numFmtId="0" fontId="1" fillId="32" borderId="55" xfId="0" applyFont="1" applyFill="1" applyBorder="1" applyAlignment="1">
      <alignment horizontal="center"/>
    </xf>
    <xf numFmtId="0" fontId="1" fillId="32" borderId="34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2" borderId="58" xfId="0" applyFont="1" applyFill="1" applyBorder="1" applyAlignment="1">
      <alignment/>
    </xf>
    <xf numFmtId="0" fontId="1" fillId="0" borderId="58" xfId="0" applyFont="1" applyBorder="1" applyAlignment="1">
      <alignment/>
    </xf>
    <xf numFmtId="0" fontId="42" fillId="32" borderId="58" xfId="0" applyFont="1" applyFill="1" applyBorder="1" applyAlignment="1">
      <alignment/>
    </xf>
    <xf numFmtId="0" fontId="42" fillId="32" borderId="22" xfId="0" applyFont="1" applyFill="1" applyBorder="1" applyAlignment="1">
      <alignment horizontal="center"/>
    </xf>
    <xf numFmtId="2" fontId="1" fillId="32" borderId="22" xfId="0" applyNumberFormat="1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149" fillId="0" borderId="10" xfId="0" applyFont="1" applyBorder="1" applyAlignment="1">
      <alignment horizontal="center" vertical="center"/>
    </xf>
    <xf numFmtId="1" fontId="150" fillId="0" borderId="86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1" fontId="145" fillId="0" borderId="89" xfId="0" applyNumberFormat="1" applyFont="1" applyBorder="1" applyAlignment="1">
      <alignment/>
    </xf>
    <xf numFmtId="1" fontId="149" fillId="0" borderId="35" xfId="0" applyNumberFormat="1" applyFont="1" applyBorder="1" applyAlignment="1">
      <alignment/>
    </xf>
    <xf numFmtId="2" fontId="149" fillId="0" borderId="66" xfId="0" applyNumberFormat="1" applyFont="1" applyBorder="1" applyAlignment="1">
      <alignment horizontal="center"/>
    </xf>
    <xf numFmtId="1" fontId="157" fillId="0" borderId="88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9" fillId="42" borderId="0" xfId="0" applyFont="1" applyFill="1" applyAlignment="1">
      <alignment/>
    </xf>
    <xf numFmtId="0" fontId="158" fillId="42" borderId="0" xfId="0" applyFont="1" applyFill="1" applyAlignment="1">
      <alignment/>
    </xf>
    <xf numFmtId="0" fontId="145" fillId="42" borderId="10" xfId="0" applyFont="1" applyFill="1" applyBorder="1" applyAlignment="1">
      <alignment/>
    </xf>
    <xf numFmtId="0" fontId="159" fillId="42" borderId="10" xfId="0" applyFont="1" applyFill="1" applyBorder="1" applyAlignment="1">
      <alignment/>
    </xf>
    <xf numFmtId="9" fontId="149" fillId="0" borderId="14" xfId="0" applyNumberFormat="1" applyFont="1" applyBorder="1" applyAlignment="1">
      <alignment horizontal="center" vertical="center"/>
    </xf>
    <xf numFmtId="0" fontId="34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4" fillId="42" borderId="10" xfId="0" applyFont="1" applyFill="1" applyBorder="1" applyAlignment="1">
      <alignment/>
    </xf>
    <xf numFmtId="1" fontId="34" fillId="42" borderId="10" xfId="0" applyNumberFormat="1" applyFont="1" applyFill="1" applyBorder="1" applyAlignment="1">
      <alignment/>
    </xf>
    <xf numFmtId="0" fontId="160" fillId="43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1" fontId="73" fillId="0" borderId="10" xfId="0" applyNumberFormat="1" applyFont="1" applyBorder="1" applyAlignment="1">
      <alignment horizontal="center" vertical="center"/>
    </xf>
    <xf numFmtId="1" fontId="73" fillId="0" borderId="24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 quotePrefix="1">
      <alignment horizontal="center"/>
    </xf>
    <xf numFmtId="0" fontId="51" fillId="40" borderId="24" xfId="0" applyFont="1" applyFill="1" applyBorder="1" applyAlignment="1">
      <alignment/>
    </xf>
    <xf numFmtId="0" fontId="2" fillId="0" borderId="2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1" fontId="73" fillId="0" borderId="90" xfId="0" applyNumberFormat="1" applyFont="1" applyBorder="1" applyAlignment="1">
      <alignment horizontal="center" vertical="center"/>
    </xf>
    <xf numFmtId="0" fontId="143" fillId="0" borderId="23" xfId="0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2" fontId="10" fillId="0" borderId="23" xfId="0" applyNumberFormat="1" applyFont="1" applyBorder="1" applyAlignment="1" quotePrefix="1">
      <alignment horizontal="center"/>
    </xf>
    <xf numFmtId="1" fontId="73" fillId="0" borderId="0" xfId="0" applyNumberFormat="1" applyFont="1" applyBorder="1" applyAlignment="1">
      <alignment horizontal="center" vertical="center"/>
    </xf>
    <xf numFmtId="0" fontId="0" fillId="33" borderId="45" xfId="0" applyFill="1" applyBorder="1" applyAlignment="1">
      <alignment horizontal="center"/>
    </xf>
    <xf numFmtId="9" fontId="2" fillId="0" borderId="46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1" fontId="5" fillId="0" borderId="72" xfId="0" applyNumberFormat="1" applyFont="1" applyBorder="1" applyAlignment="1">
      <alignment horizontal="center"/>
    </xf>
    <xf numFmtId="0" fontId="161" fillId="0" borderId="28" xfId="0" applyFont="1" applyBorder="1" applyAlignment="1" quotePrefix="1">
      <alignment horizontal="center"/>
    </xf>
    <xf numFmtId="0" fontId="161" fillId="0" borderId="30" xfId="0" applyFont="1" applyBorder="1" applyAlignment="1" quotePrefix="1">
      <alignment horizontal="center"/>
    </xf>
    <xf numFmtId="0" fontId="161" fillId="0" borderId="33" xfId="0" applyFont="1" applyBorder="1" applyAlignment="1" quotePrefix="1">
      <alignment horizontal="center"/>
    </xf>
    <xf numFmtId="1" fontId="53" fillId="0" borderId="15" xfId="0" applyNumberFormat="1" applyFont="1" applyBorder="1" applyAlignment="1">
      <alignment horizontal="center"/>
    </xf>
    <xf numFmtId="1" fontId="7" fillId="32" borderId="47" xfId="0" applyNumberFormat="1" applyFont="1" applyFill="1" applyBorder="1" applyAlignment="1">
      <alignment/>
    </xf>
    <xf numFmtId="1" fontId="17" fillId="32" borderId="34" xfId="0" applyNumberFormat="1" applyFont="1" applyFill="1" applyBorder="1" applyAlignment="1">
      <alignment/>
    </xf>
    <xf numFmtId="1" fontId="17" fillId="32" borderId="34" xfId="0" applyNumberFormat="1" applyFont="1" applyFill="1" applyBorder="1" applyAlignment="1" quotePrefix="1">
      <alignment horizontal="right"/>
    </xf>
    <xf numFmtId="1" fontId="17" fillId="32" borderId="34" xfId="0" applyNumberFormat="1" applyFont="1" applyFill="1" applyBorder="1" applyAlignment="1">
      <alignment/>
    </xf>
    <xf numFmtId="1" fontId="7" fillId="32" borderId="31" xfId="0" applyNumberFormat="1" applyFont="1" applyFill="1" applyBorder="1" applyAlignment="1">
      <alignment/>
    </xf>
    <xf numFmtId="1" fontId="17" fillId="32" borderId="31" xfId="0" applyNumberFormat="1" applyFont="1" applyFill="1" applyBorder="1" applyAlignment="1">
      <alignment/>
    </xf>
    <xf numFmtId="1" fontId="8" fillId="32" borderId="34" xfId="0" applyNumberFormat="1" applyFont="1" applyFill="1" applyBorder="1" applyAlignment="1">
      <alignment/>
    </xf>
    <xf numFmtId="1" fontId="7" fillId="0" borderId="47" xfId="0" applyNumberFormat="1" applyFont="1" applyBorder="1" applyAlignment="1">
      <alignment/>
    </xf>
    <xf numFmtId="1" fontId="7" fillId="32" borderId="34" xfId="0" applyNumberFormat="1" applyFont="1" applyFill="1" applyBorder="1" applyAlignment="1">
      <alignment/>
    </xf>
    <xf numFmtId="1" fontId="9" fillId="32" borderId="20" xfId="0" applyNumberFormat="1" applyFont="1" applyFill="1" applyBorder="1" applyAlignment="1">
      <alignment/>
    </xf>
    <xf numFmtId="0" fontId="2" fillId="32" borderId="40" xfId="0" applyFont="1" applyFill="1" applyBorder="1" applyAlignment="1" quotePrefix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78" xfId="0" applyFill="1" applyBorder="1" applyAlignment="1">
      <alignment/>
    </xf>
    <xf numFmtId="0" fontId="2" fillId="32" borderId="61" xfId="0" applyFont="1" applyFill="1" applyBorder="1" applyAlignment="1">
      <alignment/>
    </xf>
    <xf numFmtId="0" fontId="2" fillId="32" borderId="68" xfId="0" applyFont="1" applyFill="1" applyBorder="1" applyAlignment="1">
      <alignment/>
    </xf>
    <xf numFmtId="0" fontId="2" fillId="32" borderId="59" xfId="0" applyFont="1" applyFill="1" applyBorder="1" applyAlignment="1">
      <alignment/>
    </xf>
    <xf numFmtId="1" fontId="2" fillId="32" borderId="45" xfId="0" applyNumberFormat="1" applyFont="1" applyFill="1" applyBorder="1" applyAlignment="1">
      <alignment/>
    </xf>
    <xf numFmtId="0" fontId="2" fillId="32" borderId="67" xfId="0" applyFont="1" applyFill="1" applyBorder="1" applyAlignment="1">
      <alignment horizontal="center"/>
    </xf>
    <xf numFmtId="0" fontId="0" fillId="32" borderId="21" xfId="0" applyFill="1" applyBorder="1" applyAlignment="1">
      <alignment/>
    </xf>
    <xf numFmtId="1" fontId="162" fillId="32" borderId="42" xfId="0" applyNumberFormat="1" applyFont="1" applyFill="1" applyBorder="1" applyAlignment="1">
      <alignment/>
    </xf>
    <xf numFmtId="1" fontId="17" fillId="32" borderId="55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42" fillId="0" borderId="17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top"/>
    </xf>
    <xf numFmtId="2" fontId="60" fillId="0" borderId="54" xfId="0" applyNumberFormat="1" applyFont="1" applyBorder="1" applyAlignment="1">
      <alignment vertical="center"/>
    </xf>
    <xf numFmtId="49" fontId="28" fillId="0" borderId="53" xfId="0" applyNumberFormat="1" applyFont="1" applyBorder="1" applyAlignment="1">
      <alignment vertical="top"/>
    </xf>
    <xf numFmtId="0" fontId="2" fillId="41" borderId="49" xfId="0" applyFont="1" applyFill="1" applyBorder="1" applyAlignment="1">
      <alignment horizontal="center"/>
    </xf>
    <xf numFmtId="1" fontId="10" fillId="0" borderId="23" xfId="0" applyNumberFormat="1" applyFont="1" applyBorder="1" applyAlignment="1" quotePrefix="1">
      <alignment horizontal="center"/>
    </xf>
    <xf numFmtId="0" fontId="6" fillId="32" borderId="58" xfId="0" applyFont="1" applyFill="1" applyBorder="1" applyAlignment="1">
      <alignment/>
    </xf>
    <xf numFmtId="0" fontId="163" fillId="0" borderId="0" xfId="0" applyFont="1" applyAlignment="1">
      <alignment vertical="center"/>
    </xf>
    <xf numFmtId="0" fontId="164" fillId="43" borderId="10" xfId="0" applyFont="1" applyFill="1" applyBorder="1" applyAlignment="1">
      <alignment/>
    </xf>
    <xf numFmtId="0" fontId="165" fillId="43" borderId="0" xfId="0" applyFont="1" applyFill="1" applyAlignment="1">
      <alignment/>
    </xf>
    <xf numFmtId="0" fontId="164" fillId="43" borderId="0" xfId="0" applyFont="1" applyFill="1" applyAlignment="1">
      <alignment horizontal="center"/>
    </xf>
    <xf numFmtId="0" fontId="165" fillId="43" borderId="0" xfId="0" applyFont="1" applyFill="1" applyBorder="1" applyAlignment="1">
      <alignment/>
    </xf>
    <xf numFmtId="0" fontId="166" fillId="43" borderId="10" xfId="0" applyFont="1" applyFill="1" applyBorder="1" applyAlignment="1">
      <alignment/>
    </xf>
    <xf numFmtId="0" fontId="165" fillId="43" borderId="0" xfId="0" applyFont="1" applyFill="1" applyAlignment="1">
      <alignment vertical="center"/>
    </xf>
    <xf numFmtId="0" fontId="165" fillId="43" borderId="0" xfId="0" applyFont="1" applyFill="1" applyBorder="1" applyAlignment="1">
      <alignment vertical="center"/>
    </xf>
    <xf numFmtId="0" fontId="167" fillId="43" borderId="0" xfId="0" applyFont="1" applyFill="1" applyAlignment="1">
      <alignment/>
    </xf>
    <xf numFmtId="0" fontId="160" fillId="43" borderId="0" xfId="0" applyFont="1" applyFill="1" applyAlignment="1">
      <alignment horizontal="center"/>
    </xf>
    <xf numFmtId="0" fontId="165" fillId="43" borderId="44" xfId="0" applyFont="1" applyFill="1" applyBorder="1" applyAlignment="1">
      <alignment/>
    </xf>
    <xf numFmtId="0" fontId="165" fillId="43" borderId="45" xfId="0" applyFont="1" applyFill="1" applyBorder="1" applyAlignment="1">
      <alignment vertical="center"/>
    </xf>
    <xf numFmtId="0" fontId="165" fillId="43" borderId="45" xfId="0" applyFont="1" applyFill="1" applyBorder="1" applyAlignment="1">
      <alignment/>
    </xf>
    <xf numFmtId="0" fontId="165" fillId="43" borderId="46" xfId="0" applyFont="1" applyFill="1" applyBorder="1" applyAlignment="1">
      <alignment/>
    </xf>
    <xf numFmtId="0" fontId="160" fillId="43" borderId="71" xfId="0" applyFont="1" applyFill="1" applyBorder="1" applyAlignment="1">
      <alignment horizontal="center"/>
    </xf>
    <xf numFmtId="0" fontId="160" fillId="43" borderId="66" xfId="0" applyFont="1" applyFill="1" applyBorder="1" applyAlignment="1" quotePrefix="1">
      <alignment horizontal="center"/>
    </xf>
    <xf numFmtId="0" fontId="165" fillId="43" borderId="49" xfId="0" applyFont="1" applyFill="1" applyBorder="1" applyAlignment="1">
      <alignment/>
    </xf>
    <xf numFmtId="0" fontId="165" fillId="43" borderId="36" xfId="0" applyFont="1" applyFill="1" applyBorder="1" applyAlignment="1">
      <alignment horizontal="center"/>
    </xf>
    <xf numFmtId="0" fontId="165" fillId="43" borderId="37" xfId="0" applyFont="1" applyFill="1" applyBorder="1" applyAlignment="1">
      <alignment horizontal="center"/>
    </xf>
    <xf numFmtId="0" fontId="165" fillId="43" borderId="38" xfId="0" applyFont="1" applyFill="1" applyBorder="1" applyAlignment="1">
      <alignment/>
    </xf>
    <xf numFmtId="2" fontId="165" fillId="43" borderId="44" xfId="0" applyNumberFormat="1" applyFont="1" applyFill="1" applyBorder="1" applyAlignment="1">
      <alignment/>
    </xf>
    <xf numFmtId="0" fontId="164" fillId="43" borderId="45" xfId="0" applyFont="1" applyFill="1" applyBorder="1" applyAlignment="1">
      <alignment horizontal="center"/>
    </xf>
    <xf numFmtId="2" fontId="164" fillId="43" borderId="45" xfId="0" applyNumberFormat="1" applyFont="1" applyFill="1" applyBorder="1" applyAlignment="1">
      <alignment horizontal="center"/>
    </xf>
    <xf numFmtId="0" fontId="165" fillId="43" borderId="45" xfId="0" applyFont="1" applyFill="1" applyBorder="1" applyAlignment="1">
      <alignment horizontal="center"/>
    </xf>
    <xf numFmtId="0" fontId="164" fillId="43" borderId="45" xfId="0" applyFont="1" applyFill="1" applyBorder="1" applyAlignment="1">
      <alignment/>
    </xf>
    <xf numFmtId="1" fontId="164" fillId="43" borderId="44" xfId="0" applyNumberFormat="1" applyFont="1" applyFill="1" applyBorder="1" applyAlignment="1">
      <alignment/>
    </xf>
    <xf numFmtId="1" fontId="164" fillId="43" borderId="45" xfId="0" applyNumberFormat="1" applyFont="1" applyFill="1" applyBorder="1" applyAlignment="1">
      <alignment/>
    </xf>
    <xf numFmtId="1" fontId="164" fillId="43" borderId="46" xfId="0" applyNumberFormat="1" applyFont="1" applyFill="1" applyBorder="1" applyAlignment="1">
      <alignment/>
    </xf>
    <xf numFmtId="0" fontId="164" fillId="43" borderId="0" xfId="0" applyFont="1" applyFill="1" applyAlignment="1">
      <alignment/>
    </xf>
    <xf numFmtId="0" fontId="165" fillId="43" borderId="10" xfId="0" applyFont="1" applyFill="1" applyBorder="1" applyAlignment="1">
      <alignment/>
    </xf>
    <xf numFmtId="1" fontId="166" fillId="43" borderId="37" xfId="0" applyNumberFormat="1" applyFont="1" applyFill="1" applyBorder="1" applyAlignment="1" quotePrefix="1">
      <alignment horizontal="right"/>
    </xf>
    <xf numFmtId="1" fontId="168" fillId="43" borderId="10" xfId="0" applyNumberFormat="1" applyFont="1" applyFill="1" applyBorder="1" applyAlignment="1">
      <alignment horizontal="center" vertical="center"/>
    </xf>
    <xf numFmtId="0" fontId="160" fillId="43" borderId="39" xfId="0" applyFont="1" applyFill="1" applyBorder="1" applyAlignment="1">
      <alignment horizontal="center"/>
    </xf>
    <xf numFmtId="1" fontId="160" fillId="43" borderId="23" xfId="0" applyNumberFormat="1" applyFont="1" applyFill="1" applyBorder="1" applyAlignment="1">
      <alignment horizontal="center"/>
    </xf>
    <xf numFmtId="0" fontId="160" fillId="43" borderId="11" xfId="0" applyFont="1" applyFill="1" applyBorder="1" applyAlignment="1" quotePrefix="1">
      <alignment horizontal="center"/>
    </xf>
    <xf numFmtId="0" fontId="165" fillId="43" borderId="39" xfId="0" applyFont="1" applyFill="1" applyBorder="1" applyAlignment="1">
      <alignment horizontal="center"/>
    </xf>
    <xf numFmtId="0" fontId="165" fillId="43" borderId="10" xfId="0" applyFont="1" applyFill="1" applyBorder="1" applyAlignment="1">
      <alignment horizontal="center"/>
    </xf>
    <xf numFmtId="9" fontId="165" fillId="43" borderId="10" xfId="0" applyNumberFormat="1" applyFont="1" applyFill="1" applyBorder="1" applyAlignment="1">
      <alignment horizontal="center"/>
    </xf>
    <xf numFmtId="0" fontId="165" fillId="43" borderId="40" xfId="0" applyFont="1" applyFill="1" applyBorder="1" applyAlignment="1">
      <alignment horizontal="center"/>
    </xf>
    <xf numFmtId="2" fontId="165" fillId="43" borderId="12" xfId="0" applyNumberFormat="1" applyFont="1" applyFill="1" applyBorder="1" applyAlignment="1">
      <alignment/>
    </xf>
    <xf numFmtId="0" fontId="164" fillId="43" borderId="0" xfId="0" applyFont="1" applyFill="1" applyBorder="1" applyAlignment="1">
      <alignment horizontal="center"/>
    </xf>
    <xf numFmtId="2" fontId="164" fillId="43" borderId="0" xfId="0" applyNumberFormat="1" applyFont="1" applyFill="1" applyBorder="1" applyAlignment="1">
      <alignment horizontal="center"/>
    </xf>
    <xf numFmtId="0" fontId="165" fillId="43" borderId="20" xfId="0" applyFont="1" applyFill="1" applyBorder="1" applyAlignment="1">
      <alignment/>
    </xf>
    <xf numFmtId="0" fontId="164" fillId="43" borderId="0" xfId="0" applyFont="1" applyFill="1" applyBorder="1" applyAlignment="1">
      <alignment vertical="center"/>
    </xf>
    <xf numFmtId="1" fontId="164" fillId="43" borderId="12" xfId="0" applyNumberFormat="1" applyFont="1" applyFill="1" applyBorder="1" applyAlignment="1">
      <alignment/>
    </xf>
    <xf numFmtId="1" fontId="164" fillId="43" borderId="0" xfId="0" applyNumberFormat="1" applyFont="1" applyFill="1" applyBorder="1" applyAlignment="1">
      <alignment/>
    </xf>
    <xf numFmtId="1" fontId="164" fillId="43" borderId="13" xfId="0" applyNumberFormat="1" applyFont="1" applyFill="1" applyBorder="1" applyAlignment="1">
      <alignment/>
    </xf>
    <xf numFmtId="0" fontId="164" fillId="43" borderId="0" xfId="0" applyFont="1" applyFill="1" applyBorder="1" applyAlignment="1">
      <alignment/>
    </xf>
    <xf numFmtId="1" fontId="166" fillId="43" borderId="10" xfId="0" applyNumberFormat="1" applyFont="1" applyFill="1" applyBorder="1" applyAlignment="1" quotePrefix="1">
      <alignment horizontal="right"/>
    </xf>
    <xf numFmtId="0" fontId="165" fillId="43" borderId="13" xfId="0" applyFont="1" applyFill="1" applyBorder="1" applyAlignment="1">
      <alignment/>
    </xf>
    <xf numFmtId="0" fontId="169" fillId="43" borderId="10" xfId="0" applyFont="1" applyFill="1" applyBorder="1" applyAlignment="1">
      <alignment/>
    </xf>
    <xf numFmtId="1" fontId="165" fillId="43" borderId="0" xfId="0" applyNumberFormat="1" applyFont="1" applyFill="1" applyAlignment="1">
      <alignment/>
    </xf>
    <xf numFmtId="0" fontId="164" fillId="43" borderId="49" xfId="0" applyFont="1" applyFill="1" applyBorder="1" applyAlignment="1">
      <alignment horizontal="center"/>
    </xf>
    <xf numFmtId="17" fontId="170" fillId="43" borderId="39" xfId="0" applyNumberFormat="1" applyFont="1" applyFill="1" applyBorder="1" applyAlignment="1">
      <alignment horizontal="center"/>
    </xf>
    <xf numFmtId="0" fontId="164" fillId="43" borderId="10" xfId="0" applyFont="1" applyFill="1" applyBorder="1" applyAlignment="1" quotePrefix="1">
      <alignment horizontal="center"/>
    </xf>
    <xf numFmtId="2" fontId="165" fillId="43" borderId="0" xfId="0" applyNumberFormat="1" applyFont="1" applyFill="1" applyBorder="1" applyAlignment="1">
      <alignment/>
    </xf>
    <xf numFmtId="0" fontId="164" fillId="43" borderId="10" xfId="0" applyNumberFormat="1" applyFont="1" applyFill="1" applyBorder="1" applyAlignment="1" quotePrefix="1">
      <alignment horizontal="right"/>
    </xf>
    <xf numFmtId="2" fontId="165" fillId="43" borderId="17" xfId="0" applyNumberFormat="1" applyFont="1" applyFill="1" applyBorder="1" applyAlignment="1">
      <alignment/>
    </xf>
    <xf numFmtId="0" fontId="165" fillId="43" borderId="18" xfId="0" applyFont="1" applyFill="1" applyBorder="1" applyAlignment="1">
      <alignment/>
    </xf>
    <xf numFmtId="0" fontId="165" fillId="43" borderId="19" xfId="0" applyFont="1" applyFill="1" applyBorder="1" applyAlignment="1">
      <alignment/>
    </xf>
    <xf numFmtId="1" fontId="164" fillId="43" borderId="20" xfId="0" applyNumberFormat="1" applyFont="1" applyFill="1" applyBorder="1" applyAlignment="1">
      <alignment/>
    </xf>
    <xf numFmtId="0" fontId="164" fillId="43" borderId="10" xfId="0" applyNumberFormat="1" applyFont="1" applyFill="1" applyBorder="1" applyAlignment="1">
      <alignment horizontal="right"/>
    </xf>
    <xf numFmtId="0" fontId="165" fillId="43" borderId="39" xfId="0" applyFont="1" applyFill="1" applyBorder="1" applyAlignment="1">
      <alignment/>
    </xf>
    <xf numFmtId="0" fontId="165" fillId="43" borderId="40" xfId="0" applyFont="1" applyFill="1" applyBorder="1" applyAlignment="1">
      <alignment/>
    </xf>
    <xf numFmtId="0" fontId="165" fillId="43" borderId="27" xfId="0" applyFont="1" applyFill="1" applyBorder="1" applyAlignment="1">
      <alignment/>
    </xf>
    <xf numFmtId="0" fontId="171" fillId="43" borderId="10" xfId="0" applyFont="1" applyFill="1" applyBorder="1" applyAlignment="1">
      <alignment/>
    </xf>
    <xf numFmtId="181" fontId="164" fillId="43" borderId="10" xfId="0" applyNumberFormat="1" applyFont="1" applyFill="1" applyBorder="1" applyAlignment="1">
      <alignment horizontal="center"/>
    </xf>
    <xf numFmtId="1" fontId="165" fillId="43" borderId="0" xfId="0" applyNumberFormat="1" applyFont="1" applyFill="1" applyBorder="1" applyAlignment="1">
      <alignment/>
    </xf>
    <xf numFmtId="0" fontId="165" fillId="43" borderId="41" xfId="0" applyFont="1" applyFill="1" applyBorder="1" applyAlignment="1">
      <alignment/>
    </xf>
    <xf numFmtId="2" fontId="165" fillId="43" borderId="43" xfId="0" applyNumberFormat="1" applyFont="1" applyFill="1" applyBorder="1" applyAlignment="1">
      <alignment horizontal="center"/>
    </xf>
    <xf numFmtId="0" fontId="164" fillId="43" borderId="19" xfId="0" applyFont="1" applyFill="1" applyBorder="1" applyAlignment="1">
      <alignment horizontal="center"/>
    </xf>
    <xf numFmtId="2" fontId="164" fillId="43" borderId="19" xfId="0" applyNumberFormat="1" applyFont="1" applyFill="1" applyBorder="1" applyAlignment="1">
      <alignment horizontal="center"/>
    </xf>
    <xf numFmtId="1" fontId="166" fillId="43" borderId="0" xfId="0" applyNumberFormat="1" applyFont="1" applyFill="1" applyBorder="1" applyAlignment="1" quotePrefix="1">
      <alignment horizontal="right"/>
    </xf>
    <xf numFmtId="0" fontId="165" fillId="43" borderId="12" xfId="0" applyFont="1" applyFill="1" applyBorder="1" applyAlignment="1">
      <alignment/>
    </xf>
    <xf numFmtId="1" fontId="169" fillId="43" borderId="10" xfId="0" applyNumberFormat="1" applyFont="1" applyFill="1" applyBorder="1" applyAlignment="1">
      <alignment/>
    </xf>
    <xf numFmtId="17" fontId="170" fillId="43" borderId="21" xfId="0" applyNumberFormat="1" applyFont="1" applyFill="1" applyBorder="1" applyAlignment="1" quotePrefix="1">
      <alignment horizontal="center"/>
    </xf>
    <xf numFmtId="0" fontId="164" fillId="43" borderId="22" xfId="0" applyNumberFormat="1" applyFont="1" applyFill="1" applyBorder="1" applyAlignment="1" quotePrefix="1">
      <alignment horizontal="center"/>
    </xf>
    <xf numFmtId="0" fontId="164" fillId="43" borderId="61" xfId="0" applyNumberFormat="1" applyFont="1" applyFill="1" applyBorder="1" applyAlignment="1" quotePrefix="1">
      <alignment horizontal="center"/>
    </xf>
    <xf numFmtId="0" fontId="164" fillId="43" borderId="42" xfId="0" applyNumberFormat="1" applyFont="1" applyFill="1" applyBorder="1" applyAlignment="1" quotePrefix="1">
      <alignment horizontal="center"/>
    </xf>
    <xf numFmtId="17" fontId="170" fillId="43" borderId="59" xfId="0" applyNumberFormat="1" applyFont="1" applyFill="1" applyBorder="1" applyAlignment="1" quotePrefix="1">
      <alignment horizontal="center"/>
    </xf>
    <xf numFmtId="0" fontId="164" fillId="43" borderId="60" xfId="0" applyNumberFormat="1" applyFont="1" applyFill="1" applyBorder="1" applyAlignment="1" quotePrefix="1">
      <alignment horizontal="center"/>
    </xf>
    <xf numFmtId="0" fontId="164" fillId="43" borderId="10" xfId="0" applyNumberFormat="1" applyFont="1" applyFill="1" applyBorder="1" applyAlignment="1" quotePrefix="1">
      <alignment horizontal="center"/>
    </xf>
    <xf numFmtId="0" fontId="164" fillId="43" borderId="49" xfId="0" applyNumberFormat="1" applyFont="1" applyFill="1" applyBorder="1" applyAlignment="1" quotePrefix="1">
      <alignment horizontal="center"/>
    </xf>
    <xf numFmtId="17" fontId="170" fillId="43" borderId="11" xfId="0" applyNumberFormat="1" applyFont="1" applyFill="1" applyBorder="1" applyAlignment="1" quotePrefix="1">
      <alignment horizontal="center"/>
    </xf>
    <xf numFmtId="2" fontId="164" fillId="43" borderId="24" xfId="0" applyNumberFormat="1" applyFont="1" applyFill="1" applyBorder="1" applyAlignment="1" quotePrefix="1">
      <alignment horizontal="center"/>
    </xf>
    <xf numFmtId="2" fontId="160" fillId="43" borderId="10" xfId="0" applyNumberFormat="1" applyFont="1" applyFill="1" applyBorder="1" applyAlignment="1">
      <alignment horizontal="center"/>
    </xf>
    <xf numFmtId="2" fontId="166" fillId="43" borderId="13" xfId="0" applyNumberFormat="1" applyFont="1" applyFill="1" applyBorder="1" applyAlignment="1">
      <alignment horizontal="right"/>
    </xf>
    <xf numFmtId="17" fontId="170" fillId="43" borderId="23" xfId="0" applyNumberFormat="1" applyFont="1" applyFill="1" applyBorder="1" applyAlignment="1" quotePrefix="1">
      <alignment horizontal="center"/>
    </xf>
    <xf numFmtId="17" fontId="170" fillId="43" borderId="49" xfId="0" applyNumberFormat="1" applyFont="1" applyFill="1" applyBorder="1" applyAlignment="1" quotePrefix="1">
      <alignment horizontal="center"/>
    </xf>
    <xf numFmtId="2" fontId="164" fillId="43" borderId="47" xfId="0" applyNumberFormat="1" applyFont="1" applyFill="1" applyBorder="1" applyAlignment="1">
      <alignment/>
    </xf>
    <xf numFmtId="2" fontId="164" fillId="43" borderId="31" xfId="0" applyNumberFormat="1" applyFont="1" applyFill="1" applyBorder="1" applyAlignment="1">
      <alignment/>
    </xf>
    <xf numFmtId="0" fontId="165" fillId="43" borderId="23" xfId="0" applyFont="1" applyFill="1" applyBorder="1" applyAlignment="1">
      <alignment horizontal="center"/>
    </xf>
    <xf numFmtId="2" fontId="164" fillId="43" borderId="13" xfId="0" applyNumberFormat="1" applyFont="1" applyFill="1" applyBorder="1" applyAlignment="1">
      <alignment/>
    </xf>
    <xf numFmtId="0" fontId="164" fillId="43" borderId="40" xfId="0" applyFont="1" applyFill="1" applyBorder="1" applyAlignment="1">
      <alignment horizontal="center"/>
    </xf>
    <xf numFmtId="0" fontId="172" fillId="43" borderId="49" xfId="0" applyFont="1" applyFill="1" applyBorder="1" applyAlignment="1">
      <alignment horizontal="center"/>
    </xf>
    <xf numFmtId="0" fontId="172" fillId="43" borderId="49" xfId="0" applyFont="1" applyFill="1" applyBorder="1" applyAlignment="1">
      <alignment/>
    </xf>
    <xf numFmtId="0" fontId="164" fillId="43" borderId="43" xfId="0" applyFont="1" applyFill="1" applyBorder="1" applyAlignment="1">
      <alignment horizontal="center"/>
    </xf>
    <xf numFmtId="1" fontId="165" fillId="43" borderId="10" xfId="0" applyNumberFormat="1" applyFont="1" applyFill="1" applyBorder="1" applyAlignment="1">
      <alignment horizontal="center"/>
    </xf>
    <xf numFmtId="2" fontId="166" fillId="43" borderId="13" xfId="0" applyNumberFormat="1" applyFont="1" applyFill="1" applyBorder="1" applyAlignment="1">
      <alignment/>
    </xf>
    <xf numFmtId="0" fontId="173" fillId="43" borderId="0" xfId="0" applyFont="1" applyFill="1" applyAlignment="1">
      <alignment/>
    </xf>
    <xf numFmtId="1" fontId="165" fillId="43" borderId="49" xfId="0" applyNumberFormat="1" applyFont="1" applyFill="1" applyBorder="1" applyAlignment="1">
      <alignment horizontal="center" vertical="center"/>
    </xf>
    <xf numFmtId="0" fontId="160" fillId="43" borderId="30" xfId="0" applyFont="1" applyFill="1" applyBorder="1" applyAlignment="1" quotePrefix="1">
      <alignment horizontal="center"/>
    </xf>
    <xf numFmtId="0" fontId="164" fillId="43" borderId="12" xfId="0" applyFont="1" applyFill="1" applyBorder="1" applyAlignment="1">
      <alignment/>
    </xf>
    <xf numFmtId="1" fontId="166" fillId="43" borderId="48" xfId="0" applyNumberFormat="1" applyFont="1" applyFill="1" applyBorder="1" applyAlignment="1">
      <alignment horizontal="right"/>
    </xf>
    <xf numFmtId="2" fontId="166" fillId="43" borderId="47" xfId="0" applyNumberFormat="1" applyFont="1" applyFill="1" applyBorder="1" applyAlignment="1">
      <alignment/>
    </xf>
    <xf numFmtId="2" fontId="174" fillId="43" borderId="0" xfId="0" applyNumberFormat="1" applyFont="1" applyFill="1" applyBorder="1" applyAlignment="1">
      <alignment/>
    </xf>
    <xf numFmtId="0" fontId="165" fillId="43" borderId="36" xfId="0" applyFont="1" applyFill="1" applyBorder="1" applyAlignment="1">
      <alignment/>
    </xf>
    <xf numFmtId="1" fontId="164" fillId="43" borderId="36" xfId="0" applyNumberFormat="1" applyFont="1" applyFill="1" applyBorder="1" applyAlignment="1">
      <alignment horizontal="center"/>
    </xf>
    <xf numFmtId="1" fontId="164" fillId="43" borderId="38" xfId="0" applyNumberFormat="1" applyFont="1" applyFill="1" applyBorder="1" applyAlignment="1">
      <alignment horizontal="center"/>
    </xf>
    <xf numFmtId="0" fontId="164" fillId="43" borderId="0" xfId="0" applyFont="1" applyFill="1" applyBorder="1" applyAlignment="1">
      <alignment vertical="top"/>
    </xf>
    <xf numFmtId="0" fontId="174" fillId="43" borderId="0" xfId="0" applyFont="1" applyFill="1" applyBorder="1" applyAlignment="1">
      <alignment/>
    </xf>
    <xf numFmtId="0" fontId="164" fillId="43" borderId="10" xfId="0" applyFont="1" applyFill="1" applyBorder="1" applyAlignment="1">
      <alignment horizontal="center" vertical="top"/>
    </xf>
    <xf numFmtId="0" fontId="165" fillId="43" borderId="55" xfId="0" applyFont="1" applyFill="1" applyBorder="1" applyAlignment="1">
      <alignment/>
    </xf>
    <xf numFmtId="0" fontId="165" fillId="43" borderId="43" xfId="0" applyFont="1" applyFill="1" applyBorder="1" applyAlignment="1">
      <alignment/>
    </xf>
    <xf numFmtId="17" fontId="170" fillId="43" borderId="0" xfId="0" applyNumberFormat="1" applyFont="1" applyFill="1" applyBorder="1" applyAlignment="1">
      <alignment horizontal="left"/>
    </xf>
    <xf numFmtId="2" fontId="165" fillId="43" borderId="10" xfId="0" applyNumberFormat="1" applyFont="1" applyFill="1" applyBorder="1" applyAlignment="1">
      <alignment horizontal="center"/>
    </xf>
    <xf numFmtId="0" fontId="165" fillId="43" borderId="76" xfId="0" applyFont="1" applyFill="1" applyBorder="1" applyAlignment="1">
      <alignment/>
    </xf>
    <xf numFmtId="0" fontId="164" fillId="43" borderId="77" xfId="0" applyFont="1" applyFill="1" applyBorder="1" applyAlignment="1">
      <alignment/>
    </xf>
    <xf numFmtId="2" fontId="164" fillId="43" borderId="0" xfId="0" applyNumberFormat="1" applyFont="1" applyFill="1" applyBorder="1" applyAlignment="1">
      <alignment/>
    </xf>
    <xf numFmtId="0" fontId="165" fillId="43" borderId="10" xfId="0" applyNumberFormat="1" applyFont="1" applyFill="1" applyBorder="1" applyAlignment="1">
      <alignment horizontal="center"/>
    </xf>
    <xf numFmtId="1" fontId="164" fillId="43" borderId="10" xfId="0" applyNumberFormat="1" applyFont="1" applyFill="1" applyBorder="1" applyAlignment="1">
      <alignment horizontal="center"/>
    </xf>
    <xf numFmtId="0" fontId="160" fillId="43" borderId="55" xfId="0" applyFont="1" applyFill="1" applyBorder="1" applyAlignment="1">
      <alignment horizontal="center"/>
    </xf>
    <xf numFmtId="1" fontId="160" fillId="43" borderId="72" xfId="0" applyNumberFormat="1" applyFont="1" applyFill="1" applyBorder="1" applyAlignment="1">
      <alignment horizontal="center"/>
    </xf>
    <xf numFmtId="0" fontId="160" fillId="43" borderId="33" xfId="0" applyFont="1" applyFill="1" applyBorder="1" applyAlignment="1" quotePrefix="1">
      <alignment horizontal="center"/>
    </xf>
    <xf numFmtId="1" fontId="168" fillId="43" borderId="24" xfId="0" applyNumberFormat="1" applyFont="1" applyFill="1" applyBorder="1" applyAlignment="1">
      <alignment horizontal="center" vertical="center"/>
    </xf>
    <xf numFmtId="1" fontId="168" fillId="43" borderId="0" xfId="0" applyNumberFormat="1" applyFont="1" applyFill="1" applyBorder="1" applyAlignment="1">
      <alignment horizontal="center" vertical="center"/>
    </xf>
    <xf numFmtId="2" fontId="165" fillId="43" borderId="0" xfId="0" applyNumberFormat="1" applyFont="1" applyFill="1" applyAlignment="1">
      <alignment/>
    </xf>
    <xf numFmtId="0" fontId="165" fillId="43" borderId="0" xfId="0" applyFont="1" applyFill="1" applyBorder="1" applyAlignment="1">
      <alignment horizontal="right"/>
    </xf>
    <xf numFmtId="0" fontId="175" fillId="43" borderId="0" xfId="53" applyFont="1" applyFill="1" applyAlignment="1" applyProtection="1">
      <alignment/>
      <protection/>
    </xf>
    <xf numFmtId="0" fontId="165" fillId="43" borderId="0" xfId="0" applyFont="1" applyFill="1" applyBorder="1" applyAlignment="1">
      <alignment horizontal="center"/>
    </xf>
    <xf numFmtId="0" fontId="172" fillId="43" borderId="0" xfId="0" applyFont="1" applyFill="1" applyBorder="1" applyAlignment="1">
      <alignment/>
    </xf>
    <xf numFmtId="17" fontId="164" fillId="43" borderId="0" xfId="0" applyNumberFormat="1" applyFont="1" applyFill="1" applyBorder="1" applyAlignment="1">
      <alignment/>
    </xf>
    <xf numFmtId="1" fontId="165" fillId="43" borderId="0" xfId="0" applyNumberFormat="1" applyFont="1" applyFill="1" applyBorder="1" applyAlignment="1" quotePrefix="1">
      <alignment/>
    </xf>
    <xf numFmtId="0" fontId="165" fillId="43" borderId="0" xfId="0" applyFont="1" applyFill="1" applyBorder="1" applyAlignment="1">
      <alignment/>
    </xf>
    <xf numFmtId="1" fontId="168" fillId="43" borderId="0" xfId="0" applyNumberFormat="1" applyFont="1" applyFill="1" applyBorder="1" applyAlignment="1">
      <alignment horizontal="center"/>
    </xf>
    <xf numFmtId="1" fontId="164" fillId="43" borderId="0" xfId="0" applyNumberFormat="1" applyFont="1" applyFill="1" applyBorder="1" applyAlignment="1">
      <alignment horizontal="center"/>
    </xf>
    <xf numFmtId="17" fontId="165" fillId="43" borderId="0" xfId="0" applyNumberFormat="1" applyFont="1" applyFill="1" applyBorder="1" applyAlignment="1">
      <alignment/>
    </xf>
    <xf numFmtId="0" fontId="164" fillId="43" borderId="44" xfId="0" applyFont="1" applyFill="1" applyBorder="1" applyAlignment="1">
      <alignment horizontal="center"/>
    </xf>
    <xf numFmtId="0" fontId="165" fillId="43" borderId="12" xfId="0" applyFont="1" applyFill="1" applyBorder="1" applyAlignment="1">
      <alignment horizontal="center"/>
    </xf>
    <xf numFmtId="0" fontId="165" fillId="43" borderId="12" xfId="0" applyFont="1" applyFill="1" applyBorder="1" applyAlignment="1" quotePrefix="1">
      <alignment/>
    </xf>
    <xf numFmtId="0" fontId="164" fillId="43" borderId="12" xfId="0" applyFont="1" applyFill="1" applyBorder="1" applyAlignment="1" quotePrefix="1">
      <alignment horizontal="left" vertical="top"/>
    </xf>
    <xf numFmtId="0" fontId="164" fillId="43" borderId="12" xfId="0" applyFont="1" applyFill="1" applyBorder="1" applyAlignment="1">
      <alignment horizontal="left" vertical="top"/>
    </xf>
    <xf numFmtId="0" fontId="50" fillId="32" borderId="58" xfId="0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0" fillId="33" borderId="80" xfId="0" applyFont="1" applyFill="1" applyBorder="1" applyAlignment="1">
      <alignment horizontal="center"/>
    </xf>
    <xf numFmtId="0" fontId="0" fillId="33" borderId="86" xfId="0" applyFont="1" applyFill="1" applyBorder="1" applyAlignment="1">
      <alignment horizontal="center"/>
    </xf>
    <xf numFmtId="0" fontId="0" fillId="33" borderId="81" xfId="0" applyFont="1" applyFill="1" applyBorder="1" applyAlignment="1">
      <alignment horizontal="center"/>
    </xf>
    <xf numFmtId="0" fontId="0" fillId="32" borderId="80" xfId="0" applyFont="1" applyFill="1" applyBorder="1" applyAlignment="1">
      <alignment horizontal="center"/>
    </xf>
    <xf numFmtId="0" fontId="0" fillId="32" borderId="49" xfId="0" applyFont="1" applyFill="1" applyBorder="1" applyAlignment="1">
      <alignment horizontal="center"/>
    </xf>
    <xf numFmtId="0" fontId="0" fillId="32" borderId="81" xfId="0" applyFont="1" applyFill="1" applyBorder="1" applyAlignment="1">
      <alignment horizontal="center"/>
    </xf>
    <xf numFmtId="0" fontId="0" fillId="33" borderId="85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161" fillId="0" borderId="0" xfId="0" applyFont="1" applyBorder="1" applyAlignment="1" quotePrefix="1">
      <alignment horizontal="center"/>
    </xf>
    <xf numFmtId="0" fontId="0" fillId="32" borderId="0" xfId="0" applyFont="1" applyFill="1" applyBorder="1" applyAlignment="1" quotePrefix="1">
      <alignment/>
    </xf>
    <xf numFmtId="0" fontId="2" fillId="32" borderId="0" xfId="0" applyFont="1" applyFill="1" applyBorder="1" applyAlignment="1" quotePrefix="1">
      <alignment horizontal="left" vertical="top"/>
    </xf>
    <xf numFmtId="0" fontId="2" fillId="32" borderId="0" xfId="0" applyFont="1" applyFill="1" applyBorder="1" applyAlignment="1">
      <alignment horizontal="left" vertical="top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52" fillId="41" borderId="31" xfId="0" applyFont="1" applyFill="1" applyBorder="1" applyAlignment="1">
      <alignment horizontal="center"/>
    </xf>
    <xf numFmtId="0" fontId="52" fillId="41" borderId="31" xfId="0" applyFont="1" applyFill="1" applyBorder="1" applyAlignment="1">
      <alignment/>
    </xf>
    <xf numFmtId="1" fontId="0" fillId="41" borderId="34" xfId="0" applyNumberForma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41" borderId="49" xfId="0" applyFont="1" applyFill="1" applyBorder="1" applyAlignment="1">
      <alignment horizontal="center"/>
    </xf>
    <xf numFmtId="1" fontId="2" fillId="41" borderId="0" xfId="0" applyNumberFormat="1" applyFont="1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0" xfId="0" applyFill="1" applyBorder="1" applyAlignment="1">
      <alignment horizontal="right"/>
    </xf>
    <xf numFmtId="1" fontId="0" fillId="41" borderId="0" xfId="0" applyNumberFormat="1" applyFill="1" applyBorder="1" applyAlignment="1">
      <alignment/>
    </xf>
    <xf numFmtId="1" fontId="7" fillId="41" borderId="0" xfId="0" applyNumberFormat="1" applyFont="1" applyFill="1" applyBorder="1" applyAlignment="1">
      <alignment/>
    </xf>
    <xf numFmtId="2" fontId="0" fillId="41" borderId="0" xfId="0" applyNumberFormat="1" applyFill="1" applyBorder="1" applyAlignment="1">
      <alignment/>
    </xf>
    <xf numFmtId="0" fontId="46" fillId="41" borderId="0" xfId="53" applyFill="1" applyBorder="1" applyAlignment="1" applyProtection="1">
      <alignment/>
      <protection/>
    </xf>
    <xf numFmtId="2" fontId="2" fillId="41" borderId="0" xfId="0" applyNumberFormat="1" applyFont="1" applyFill="1" applyBorder="1" applyAlignment="1">
      <alignment/>
    </xf>
    <xf numFmtId="0" fontId="2" fillId="32" borderId="12" xfId="0" applyFont="1" applyFill="1" applyBorder="1" applyAlignment="1">
      <alignment horizontal="center"/>
    </xf>
    <xf numFmtId="1" fontId="7" fillId="32" borderId="0" xfId="0" applyNumberFormat="1" applyFont="1" applyFill="1" applyBorder="1" applyAlignment="1">
      <alignment/>
    </xf>
    <xf numFmtId="0" fontId="2" fillId="41" borderId="0" xfId="0" applyFont="1" applyFill="1" applyBorder="1" applyAlignment="1">
      <alignment horizontal="center"/>
    </xf>
    <xf numFmtId="0" fontId="2" fillId="41" borderId="0" xfId="0" applyFont="1" applyFill="1" applyBorder="1" applyAlignment="1">
      <alignment/>
    </xf>
    <xf numFmtId="0" fontId="0" fillId="41" borderId="0" xfId="0" applyFill="1" applyBorder="1" applyAlignment="1">
      <alignment horizontal="center"/>
    </xf>
    <xf numFmtId="1" fontId="7" fillId="41" borderId="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0" fontId="2" fillId="32" borderId="22" xfId="0" applyFont="1" applyFill="1" applyBorder="1" applyAlignment="1">
      <alignment/>
    </xf>
    <xf numFmtId="0" fontId="2" fillId="32" borderId="42" xfId="0" applyFont="1" applyFill="1" applyBorder="1" applyAlignment="1">
      <alignment/>
    </xf>
    <xf numFmtId="1" fontId="2" fillId="32" borderId="58" xfId="0" applyNumberFormat="1" applyFont="1" applyFill="1" applyBorder="1" applyAlignment="1">
      <alignment/>
    </xf>
    <xf numFmtId="0" fontId="50" fillId="32" borderId="58" xfId="0" applyFont="1" applyFill="1" applyBorder="1" applyAlignment="1">
      <alignment horizontal="center"/>
    </xf>
    <xf numFmtId="0" fontId="6" fillId="32" borderId="58" xfId="0" applyFont="1" applyFill="1" applyBorder="1" applyAlignment="1">
      <alignment horizontal="center"/>
    </xf>
    <xf numFmtId="0" fontId="2" fillId="32" borderId="58" xfId="0" applyFont="1" applyFill="1" applyBorder="1" applyAlignment="1">
      <alignment horizontal="center"/>
    </xf>
    <xf numFmtId="0" fontId="7" fillId="32" borderId="27" xfId="0" applyFont="1" applyFill="1" applyBorder="1" applyAlignment="1">
      <alignment/>
    </xf>
    <xf numFmtId="1" fontId="7" fillId="32" borderId="27" xfId="0" applyNumberFormat="1" applyFont="1" applyFill="1" applyBorder="1" applyAlignment="1">
      <alignment/>
    </xf>
    <xf numFmtId="1" fontId="162" fillId="32" borderId="17" xfId="0" applyNumberFormat="1" applyFont="1" applyFill="1" applyBorder="1" applyAlignment="1">
      <alignment/>
    </xf>
    <xf numFmtId="1" fontId="7" fillId="32" borderId="17" xfId="0" applyNumberFormat="1" applyFont="1" applyFill="1" applyBorder="1" applyAlignment="1">
      <alignment/>
    </xf>
    <xf numFmtId="0" fontId="6" fillId="41" borderId="45" xfId="0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43" fillId="41" borderId="45" xfId="0" applyFont="1" applyFill="1" applyBorder="1" applyAlignment="1">
      <alignment vertical="center"/>
    </xf>
    <xf numFmtId="1" fontId="8" fillId="41" borderId="0" xfId="0" applyNumberFormat="1" applyFont="1" applyFill="1" applyBorder="1" applyAlignment="1">
      <alignment/>
    </xf>
    <xf numFmtId="1" fontId="9" fillId="41" borderId="0" xfId="0" applyNumberFormat="1" applyFont="1" applyFill="1" applyBorder="1" applyAlignment="1">
      <alignment/>
    </xf>
    <xf numFmtId="0" fontId="6" fillId="41" borderId="10" xfId="0" applyFont="1" applyFill="1" applyBorder="1" applyAlignment="1">
      <alignment horizontal="center"/>
    </xf>
    <xf numFmtId="0" fontId="14" fillId="41" borderId="10" xfId="0" applyFont="1" applyFill="1" applyBorder="1" applyAlignment="1">
      <alignment vertical="center"/>
    </xf>
    <xf numFmtId="0" fontId="43" fillId="41" borderId="10" xfId="0" applyFont="1" applyFill="1" applyBorder="1" applyAlignment="1">
      <alignment vertical="center"/>
    </xf>
    <xf numFmtId="0" fontId="2" fillId="41" borderId="10" xfId="0" applyFont="1" applyFill="1" applyBorder="1" applyAlignment="1" quotePrefix="1">
      <alignment horizontal="center"/>
    </xf>
    <xf numFmtId="0" fontId="0" fillId="41" borderId="10" xfId="0" applyFill="1" applyBorder="1" applyAlignment="1">
      <alignment horizontal="center"/>
    </xf>
    <xf numFmtId="0" fontId="44" fillId="41" borderId="10" xfId="0" applyFont="1" applyFill="1" applyBorder="1" applyAlignment="1">
      <alignment vertical="center"/>
    </xf>
    <xf numFmtId="0" fontId="2" fillId="41" borderId="10" xfId="0" applyFont="1" applyFill="1" applyBorder="1" applyAlignment="1">
      <alignment/>
    </xf>
    <xf numFmtId="0" fontId="2" fillId="41" borderId="44" xfId="0" applyFont="1" applyFill="1" applyBorder="1" applyAlignment="1">
      <alignment horizontal="center"/>
    </xf>
    <xf numFmtId="0" fontId="2" fillId="41" borderId="45" xfId="0" applyFont="1" applyFill="1" applyBorder="1" applyAlignment="1" quotePrefix="1">
      <alignment horizontal="center"/>
    </xf>
    <xf numFmtId="1" fontId="17" fillId="41" borderId="45" xfId="0" applyNumberFormat="1" applyFont="1" applyFill="1" applyBorder="1" applyAlignment="1">
      <alignment/>
    </xf>
    <xf numFmtId="0" fontId="2" fillId="41" borderId="45" xfId="0" applyFont="1" applyFill="1" applyBorder="1" applyAlignment="1">
      <alignment/>
    </xf>
    <xf numFmtId="0" fontId="6" fillId="41" borderId="45" xfId="0" applyFont="1" applyFill="1" applyBorder="1" applyAlignment="1">
      <alignment horizontal="center"/>
    </xf>
    <xf numFmtId="0" fontId="6" fillId="41" borderId="45" xfId="0" applyFont="1" applyFill="1" applyBorder="1" applyAlignment="1">
      <alignment horizontal="center"/>
    </xf>
    <xf numFmtId="1" fontId="17" fillId="41" borderId="46" xfId="0" applyNumberFormat="1" applyFont="1" applyFill="1" applyBorder="1" applyAlignment="1">
      <alignment/>
    </xf>
    <xf numFmtId="0" fontId="2" fillId="41" borderId="12" xfId="0" applyFont="1" applyFill="1" applyBorder="1" applyAlignment="1">
      <alignment horizontal="center"/>
    </xf>
    <xf numFmtId="1" fontId="7" fillId="41" borderId="13" xfId="0" applyNumberFormat="1" applyFont="1" applyFill="1" applyBorder="1" applyAlignment="1">
      <alignment/>
    </xf>
    <xf numFmtId="1" fontId="17" fillId="41" borderId="13" xfId="0" applyNumberFormat="1" applyFont="1" applyFill="1" applyBorder="1" applyAlignment="1">
      <alignment/>
    </xf>
    <xf numFmtId="0" fontId="2" fillId="41" borderId="12" xfId="0" applyFont="1" applyFill="1" applyBorder="1" applyAlignment="1">
      <alignment/>
    </xf>
    <xf numFmtId="1" fontId="7" fillId="41" borderId="13" xfId="0" applyNumberFormat="1" applyFont="1" applyFill="1" applyBorder="1" applyAlignment="1">
      <alignment horizontal="right"/>
    </xf>
    <xf numFmtId="1" fontId="7" fillId="0" borderId="13" xfId="0" applyNumberFormat="1" applyFont="1" applyBorder="1" applyAlignment="1">
      <alignment/>
    </xf>
    <xf numFmtId="0" fontId="2" fillId="4" borderId="10" xfId="0" applyFont="1" applyFill="1" applyBorder="1" applyAlignment="1" quotePrefix="1">
      <alignment/>
    </xf>
    <xf numFmtId="0" fontId="2" fillId="4" borderId="39" xfId="0" applyFont="1" applyFill="1" applyBorder="1" applyAlignment="1">
      <alignment horizontal="right"/>
    </xf>
    <xf numFmtId="1" fontId="8" fillId="39" borderId="83" xfId="0" applyNumberFormat="1" applyFont="1" applyFill="1" applyBorder="1" applyAlignment="1">
      <alignment/>
    </xf>
    <xf numFmtId="0" fontId="6" fillId="41" borderId="49" xfId="0" applyFont="1" applyFill="1" applyBorder="1" applyAlignment="1">
      <alignment horizontal="center"/>
    </xf>
    <xf numFmtId="0" fontId="2" fillId="41" borderId="49" xfId="0" applyFont="1" applyFill="1" applyBorder="1" applyAlignment="1">
      <alignment/>
    </xf>
    <xf numFmtId="0" fontId="2" fillId="41" borderId="37" xfId="0" applyFont="1" applyFill="1" applyBorder="1" applyAlignment="1" quotePrefix="1">
      <alignment horizontal="center"/>
    </xf>
    <xf numFmtId="0" fontId="2" fillId="41" borderId="79" xfId="0" applyFont="1" applyFill="1" applyBorder="1" applyAlignment="1" quotePrefix="1">
      <alignment horizontal="center"/>
    </xf>
    <xf numFmtId="0" fontId="0" fillId="41" borderId="41" xfId="0" applyFill="1" applyBorder="1" applyAlignment="1">
      <alignment/>
    </xf>
    <xf numFmtId="0" fontId="149" fillId="42" borderId="10" xfId="0" applyFont="1" applyFill="1" applyBorder="1" applyAlignment="1">
      <alignment/>
    </xf>
    <xf numFmtId="0" fontId="161" fillId="42" borderId="10" xfId="0" applyFont="1" applyFill="1" applyBorder="1" applyAlignment="1">
      <alignment/>
    </xf>
    <xf numFmtId="0" fontId="161" fillId="42" borderId="24" xfId="0" applyFont="1" applyFill="1" applyBorder="1" applyAlignment="1">
      <alignment/>
    </xf>
    <xf numFmtId="0" fontId="145" fillId="42" borderId="0" xfId="0" applyFont="1" applyFill="1" applyAlignment="1">
      <alignment/>
    </xf>
    <xf numFmtId="0" fontId="145" fillId="42" borderId="0" xfId="0" applyFont="1" applyFill="1" applyBorder="1" applyAlignment="1">
      <alignment/>
    </xf>
    <xf numFmtId="0" fontId="161" fillId="42" borderId="0" xfId="0" applyFont="1" applyFill="1" applyAlignment="1">
      <alignment/>
    </xf>
    <xf numFmtId="0" fontId="176" fillId="42" borderId="0" xfId="0" applyFont="1" applyFill="1" applyAlignment="1">
      <alignment/>
    </xf>
    <xf numFmtId="0" fontId="155" fillId="42" borderId="37" xfId="0" applyFont="1" applyFill="1" applyBorder="1" applyAlignment="1">
      <alignment horizontal="center"/>
    </xf>
    <xf numFmtId="0" fontId="155" fillId="42" borderId="38" xfId="0" applyFont="1" applyFill="1" applyBorder="1" applyAlignment="1">
      <alignment horizontal="center" vertical="center" wrapText="1"/>
    </xf>
    <xf numFmtId="0" fontId="155" fillId="42" borderId="41" xfId="0" applyFont="1" applyFill="1" applyBorder="1" applyAlignment="1">
      <alignment horizontal="center"/>
    </xf>
    <xf numFmtId="1" fontId="155" fillId="42" borderId="43" xfId="0" applyNumberFormat="1" applyFont="1" applyFill="1" applyBorder="1" applyAlignment="1">
      <alignment horizontal="center"/>
    </xf>
    <xf numFmtId="9" fontId="149" fillId="42" borderId="82" xfId="0" applyNumberFormat="1" applyFont="1" applyFill="1" applyBorder="1" applyAlignment="1">
      <alignment horizontal="center" vertical="center"/>
    </xf>
    <xf numFmtId="17" fontId="151" fillId="42" borderId="35" xfId="0" applyNumberFormat="1" applyFont="1" applyFill="1" applyBorder="1" applyAlignment="1">
      <alignment horizontal="left"/>
    </xf>
    <xf numFmtId="0" fontId="149" fillId="42" borderId="35" xfId="0" applyFont="1" applyFill="1" applyBorder="1" applyAlignment="1">
      <alignment horizontal="right"/>
    </xf>
    <xf numFmtId="0" fontId="149" fillId="42" borderId="35" xfId="0" applyFont="1" applyFill="1" applyBorder="1" applyAlignment="1">
      <alignment/>
    </xf>
    <xf numFmtId="0" fontId="149" fillId="42" borderId="35" xfId="0" applyFont="1" applyFill="1" applyBorder="1" applyAlignment="1" quotePrefix="1">
      <alignment/>
    </xf>
    <xf numFmtId="1" fontId="149" fillId="42" borderId="35" xfId="0" applyNumberFormat="1" applyFont="1" applyFill="1" applyBorder="1" applyAlignment="1">
      <alignment/>
    </xf>
    <xf numFmtId="0" fontId="161" fillId="42" borderId="35" xfId="0" applyFont="1" applyFill="1" applyBorder="1" applyAlignment="1">
      <alignment/>
    </xf>
    <xf numFmtId="1" fontId="149" fillId="42" borderId="83" xfId="0" applyNumberFormat="1" applyFont="1" applyFill="1" applyBorder="1" applyAlignment="1">
      <alignment/>
    </xf>
    <xf numFmtId="9" fontId="149" fillId="42" borderId="39" xfId="0" applyNumberFormat="1" applyFont="1" applyFill="1" applyBorder="1" applyAlignment="1">
      <alignment horizontal="center" vertical="center"/>
    </xf>
    <xf numFmtId="17" fontId="151" fillId="42" borderId="10" xfId="0" applyNumberFormat="1" applyFont="1" applyFill="1" applyBorder="1" applyAlignment="1">
      <alignment horizontal="left"/>
    </xf>
    <xf numFmtId="0" fontId="149" fillId="42" borderId="10" xfId="0" applyNumberFormat="1" applyFont="1" applyFill="1" applyBorder="1" applyAlignment="1" quotePrefix="1">
      <alignment horizontal="right"/>
    </xf>
    <xf numFmtId="0" fontId="149" fillId="42" borderId="10" xfId="0" applyFont="1" applyFill="1" applyBorder="1" applyAlignment="1" quotePrefix="1">
      <alignment horizontal="right"/>
    </xf>
    <xf numFmtId="1" fontId="149" fillId="42" borderId="10" xfId="0" applyNumberFormat="1" applyFont="1" applyFill="1" applyBorder="1" applyAlignment="1">
      <alignment/>
    </xf>
    <xf numFmtId="1" fontId="149" fillId="42" borderId="40" xfId="0" applyNumberFormat="1" applyFont="1" applyFill="1" applyBorder="1" applyAlignment="1">
      <alignment/>
    </xf>
    <xf numFmtId="0" fontId="149" fillId="42" borderId="10" xfId="0" applyNumberFormat="1" applyFont="1" applyFill="1" applyBorder="1" applyAlignment="1">
      <alignment horizontal="right"/>
    </xf>
    <xf numFmtId="1" fontId="161" fillId="42" borderId="10" xfId="0" applyNumberFormat="1" applyFont="1" applyFill="1" applyBorder="1" applyAlignment="1">
      <alignment/>
    </xf>
    <xf numFmtId="0" fontId="151" fillId="42" borderId="39" xfId="0" applyFont="1" applyFill="1" applyBorder="1" applyAlignment="1">
      <alignment horizontal="center"/>
    </xf>
    <xf numFmtId="17" fontId="151" fillId="42" borderId="10" xfId="0" applyNumberFormat="1" applyFont="1" applyFill="1" applyBorder="1" applyAlignment="1">
      <alignment horizontal="center"/>
    </xf>
    <xf numFmtId="1" fontId="145" fillId="42" borderId="40" xfId="0" applyNumberFormat="1" applyFont="1" applyFill="1" applyBorder="1" applyAlignment="1">
      <alignment/>
    </xf>
    <xf numFmtId="0" fontId="145" fillId="42" borderId="50" xfId="0" applyFont="1" applyFill="1" applyBorder="1" applyAlignment="1">
      <alignment/>
    </xf>
    <xf numFmtId="0" fontId="149" fillId="42" borderId="24" xfId="0" applyFont="1" applyFill="1" applyBorder="1" applyAlignment="1">
      <alignment/>
    </xf>
    <xf numFmtId="1" fontId="145" fillId="42" borderId="84" xfId="0" applyNumberFormat="1" applyFont="1" applyFill="1" applyBorder="1" applyAlignment="1">
      <alignment/>
    </xf>
    <xf numFmtId="0" fontId="145" fillId="42" borderId="21" xfId="0" applyFont="1" applyFill="1" applyBorder="1" applyAlignment="1">
      <alignment/>
    </xf>
    <xf numFmtId="0" fontId="149" fillId="42" borderId="22" xfId="0" applyFont="1" applyFill="1" applyBorder="1" applyAlignment="1">
      <alignment/>
    </xf>
    <xf numFmtId="1" fontId="149" fillId="42" borderId="22" xfId="0" applyNumberFormat="1" applyFont="1" applyFill="1" applyBorder="1" applyAlignment="1">
      <alignment/>
    </xf>
    <xf numFmtId="0" fontId="161" fillId="42" borderId="22" xfId="0" applyFont="1" applyFill="1" applyBorder="1" applyAlignment="1">
      <alignment/>
    </xf>
    <xf numFmtId="1" fontId="149" fillId="42" borderId="42" xfId="0" applyNumberFormat="1" applyFont="1" applyFill="1" applyBorder="1" applyAlignment="1">
      <alignment/>
    </xf>
    <xf numFmtId="0" fontId="149" fillId="42" borderId="12" xfId="0" applyFont="1" applyFill="1" applyBorder="1" applyAlignment="1">
      <alignment/>
    </xf>
    <xf numFmtId="0" fontId="149" fillId="42" borderId="0" xfId="0" applyFont="1" applyFill="1" applyBorder="1" applyAlignment="1">
      <alignment/>
    </xf>
    <xf numFmtId="0" fontId="149" fillId="42" borderId="13" xfId="0" applyFont="1" applyFill="1" applyBorder="1" applyAlignment="1">
      <alignment/>
    </xf>
    <xf numFmtId="1" fontId="149" fillId="42" borderId="0" xfId="0" applyNumberFormat="1" applyFont="1" applyFill="1" applyBorder="1" applyAlignment="1">
      <alignment/>
    </xf>
    <xf numFmtId="0" fontId="145" fillId="42" borderId="12" xfId="0" applyFont="1" applyFill="1" applyBorder="1" applyAlignment="1">
      <alignment/>
    </xf>
    <xf numFmtId="0" fontId="145" fillId="42" borderId="13" xfId="0" applyFont="1" applyFill="1" applyBorder="1" applyAlignment="1">
      <alignment/>
    </xf>
    <xf numFmtId="1" fontId="149" fillId="42" borderId="0" xfId="0" applyNumberFormat="1" applyFont="1" applyFill="1" applyAlignment="1">
      <alignment horizontal="center"/>
    </xf>
    <xf numFmtId="0" fontId="150" fillId="42" borderId="12" xfId="0" applyFont="1" applyFill="1" applyBorder="1" applyAlignment="1">
      <alignment/>
    </xf>
    <xf numFmtId="0" fontId="149" fillId="42" borderId="19" xfId="0" applyFont="1" applyFill="1" applyBorder="1" applyAlignment="1">
      <alignment/>
    </xf>
    <xf numFmtId="0" fontId="149" fillId="42" borderId="59" xfId="0" applyFont="1" applyFill="1" applyBorder="1" applyAlignment="1">
      <alignment/>
    </xf>
    <xf numFmtId="0" fontId="149" fillId="42" borderId="61" xfId="0" applyFont="1" applyFill="1" applyBorder="1" applyAlignment="1">
      <alignment/>
    </xf>
    <xf numFmtId="0" fontId="149" fillId="42" borderId="68" xfId="0" applyFont="1" applyFill="1" applyBorder="1" applyAlignment="1">
      <alignment/>
    </xf>
    <xf numFmtId="1" fontId="149" fillId="42" borderId="45" xfId="0" applyNumberFormat="1" applyFont="1" applyFill="1" applyBorder="1" applyAlignment="1">
      <alignment/>
    </xf>
    <xf numFmtId="0" fontId="149" fillId="42" borderId="18" xfId="0" applyFont="1" applyFill="1" applyBorder="1" applyAlignment="1">
      <alignment/>
    </xf>
    <xf numFmtId="0" fontId="149" fillId="42" borderId="19" xfId="0" applyFont="1" applyFill="1" applyBorder="1" applyAlignment="1">
      <alignment/>
    </xf>
    <xf numFmtId="1" fontId="151" fillId="42" borderId="19" xfId="0" applyNumberFormat="1" applyFont="1" applyFill="1" applyBorder="1" applyAlignment="1" quotePrefix="1">
      <alignment horizontal="right"/>
    </xf>
    <xf numFmtId="0" fontId="149" fillId="42" borderId="20" xfId="0" applyFont="1" applyFill="1" applyBorder="1" applyAlignment="1">
      <alignment horizontal="center"/>
    </xf>
    <xf numFmtId="1" fontId="161" fillId="42" borderId="42" xfId="0" applyNumberFormat="1" applyFont="1" applyFill="1" applyBorder="1" applyAlignment="1">
      <alignment/>
    </xf>
    <xf numFmtId="0" fontId="149" fillId="42" borderId="75" xfId="0" applyFont="1" applyFill="1" applyBorder="1" applyAlignment="1">
      <alignment/>
    </xf>
    <xf numFmtId="0" fontId="149" fillId="42" borderId="35" xfId="0" applyFont="1" applyFill="1" applyBorder="1" applyAlignment="1">
      <alignment horizontal="center"/>
    </xf>
    <xf numFmtId="0" fontId="151" fillId="42" borderId="73" xfId="0" applyFont="1" applyFill="1" applyBorder="1" applyAlignment="1">
      <alignment/>
    </xf>
    <xf numFmtId="0" fontId="149" fillId="42" borderId="67" xfId="0" applyFont="1" applyFill="1" applyBorder="1" applyAlignment="1">
      <alignment horizontal="center"/>
    </xf>
    <xf numFmtId="1" fontId="151" fillId="42" borderId="47" xfId="0" applyNumberFormat="1" applyFont="1" applyFill="1" applyBorder="1" applyAlignment="1">
      <alignment/>
    </xf>
    <xf numFmtId="0" fontId="149" fillId="42" borderId="49" xfId="0" applyFont="1" applyFill="1" applyBorder="1" applyAlignment="1">
      <alignment/>
    </xf>
    <xf numFmtId="0" fontId="149" fillId="42" borderId="10" xfId="0" applyFont="1" applyFill="1" applyBorder="1" applyAlignment="1">
      <alignment horizontal="center"/>
    </xf>
    <xf numFmtId="0" fontId="149" fillId="42" borderId="23" xfId="0" applyFont="1" applyFill="1" applyBorder="1" applyAlignment="1">
      <alignment horizontal="center"/>
    </xf>
    <xf numFmtId="1" fontId="151" fillId="42" borderId="30" xfId="0" applyNumberFormat="1" applyFont="1" applyFill="1" applyBorder="1" applyAlignment="1">
      <alignment/>
    </xf>
    <xf numFmtId="0" fontId="149" fillId="42" borderId="11" xfId="0" applyFont="1" applyFill="1" applyBorder="1" applyAlignment="1">
      <alignment horizontal="center"/>
    </xf>
    <xf numFmtId="0" fontId="149" fillId="42" borderId="40" xfId="0" applyFont="1" applyFill="1" applyBorder="1" applyAlignment="1" quotePrefix="1">
      <alignment horizontal="center"/>
    </xf>
    <xf numFmtId="1" fontId="151" fillId="42" borderId="34" xfId="0" applyNumberFormat="1" applyFont="1" applyFill="1" applyBorder="1" applyAlignment="1">
      <alignment/>
    </xf>
    <xf numFmtId="0" fontId="149" fillId="42" borderId="49" xfId="0" applyFont="1" applyFill="1" applyBorder="1" applyAlignment="1">
      <alignment horizontal="center"/>
    </xf>
    <xf numFmtId="0" fontId="153" fillId="42" borderId="23" xfId="0" applyFont="1" applyFill="1" applyBorder="1" applyAlignment="1">
      <alignment vertical="center"/>
    </xf>
    <xf numFmtId="0" fontId="153" fillId="42" borderId="57" xfId="0" applyFont="1" applyFill="1" applyBorder="1" applyAlignment="1">
      <alignment vertical="center"/>
    </xf>
    <xf numFmtId="0" fontId="153" fillId="42" borderId="49" xfId="0" applyFont="1" applyFill="1" applyBorder="1" applyAlignment="1">
      <alignment vertical="center"/>
    </xf>
    <xf numFmtId="1" fontId="151" fillId="42" borderId="33" xfId="0" applyNumberFormat="1" applyFont="1" applyFill="1" applyBorder="1" applyAlignment="1">
      <alignment/>
    </xf>
    <xf numFmtId="1" fontId="151" fillId="42" borderId="73" xfId="0" applyNumberFormat="1" applyFont="1" applyFill="1" applyBorder="1" applyAlignment="1">
      <alignment/>
    </xf>
    <xf numFmtId="0" fontId="149" fillId="42" borderId="11" xfId="0" applyFont="1" applyFill="1" applyBorder="1" applyAlignment="1">
      <alignment/>
    </xf>
    <xf numFmtId="1" fontId="151" fillId="42" borderId="55" xfId="0" applyNumberFormat="1" applyFont="1" applyFill="1" applyBorder="1" applyAlignment="1">
      <alignment/>
    </xf>
    <xf numFmtId="0" fontId="145" fillId="42" borderId="23" xfId="0" applyFont="1" applyFill="1" applyBorder="1" applyAlignment="1">
      <alignment/>
    </xf>
    <xf numFmtId="1" fontId="151" fillId="42" borderId="30" xfId="0" applyNumberFormat="1" applyFont="1" applyFill="1" applyBorder="1" applyAlignment="1">
      <alignment horizontal="right"/>
    </xf>
    <xf numFmtId="0" fontId="149" fillId="42" borderId="23" xfId="0" applyFont="1" applyFill="1" applyBorder="1" applyAlignment="1">
      <alignment/>
    </xf>
    <xf numFmtId="1" fontId="151" fillId="42" borderId="31" xfId="0" applyNumberFormat="1" applyFont="1" applyFill="1" applyBorder="1" applyAlignment="1">
      <alignment/>
    </xf>
    <xf numFmtId="1" fontId="149" fillId="42" borderId="30" xfId="0" applyNumberFormat="1" applyFont="1" applyFill="1" applyBorder="1" applyAlignment="1">
      <alignment/>
    </xf>
    <xf numFmtId="1" fontId="149" fillId="42" borderId="14" xfId="0" applyNumberFormat="1" applyFont="1" applyFill="1" applyBorder="1" applyAlignment="1">
      <alignment/>
    </xf>
    <xf numFmtId="1" fontId="150" fillId="42" borderId="71" xfId="0" applyNumberFormat="1" applyFont="1" applyFill="1" applyBorder="1" applyAlignment="1" quotePrefix="1">
      <alignment horizontal="right"/>
    </xf>
    <xf numFmtId="1" fontId="151" fillId="42" borderId="28" xfId="0" applyNumberFormat="1" applyFont="1" applyFill="1" applyBorder="1" applyAlignment="1">
      <alignment/>
    </xf>
    <xf numFmtId="1" fontId="150" fillId="42" borderId="23" xfId="0" applyNumberFormat="1" applyFont="1" applyFill="1" applyBorder="1" applyAlignment="1" quotePrefix="1">
      <alignment horizontal="right"/>
    </xf>
    <xf numFmtId="1" fontId="150" fillId="42" borderId="72" xfId="0" applyNumberFormat="1" applyFont="1" applyFill="1" applyBorder="1" applyAlignment="1">
      <alignment horizontal="right"/>
    </xf>
    <xf numFmtId="0" fontId="145" fillId="42" borderId="11" xfId="0" applyFont="1" applyFill="1" applyBorder="1" applyAlignment="1">
      <alignment/>
    </xf>
    <xf numFmtId="0" fontId="145" fillId="42" borderId="49" xfId="0" applyFont="1" applyFill="1" applyBorder="1" applyAlignment="1">
      <alignment/>
    </xf>
    <xf numFmtId="1" fontId="155" fillId="42" borderId="22" xfId="0" applyNumberFormat="1" applyFont="1" applyFill="1" applyBorder="1" applyAlignment="1">
      <alignment/>
    </xf>
    <xf numFmtId="1" fontId="149" fillId="42" borderId="51" xfId="0" applyNumberFormat="1" applyFont="1" applyFill="1" applyBorder="1" applyAlignment="1">
      <alignment horizontal="right"/>
    </xf>
    <xf numFmtId="1" fontId="151" fillId="42" borderId="17" xfId="0" applyNumberFormat="1" applyFont="1" applyFill="1" applyBorder="1" applyAlignment="1">
      <alignment/>
    </xf>
    <xf numFmtId="1" fontId="151" fillId="42" borderId="43" xfId="0" applyNumberFormat="1" applyFont="1" applyFill="1" applyBorder="1" applyAlignment="1">
      <alignment/>
    </xf>
    <xf numFmtId="0" fontId="145" fillId="42" borderId="48" xfId="0" applyFont="1" applyFill="1" applyBorder="1" applyAlignment="1">
      <alignment/>
    </xf>
    <xf numFmtId="0" fontId="145" fillId="42" borderId="78" xfId="0" applyFont="1" applyFill="1" applyBorder="1" applyAlignment="1">
      <alignment/>
    </xf>
    <xf numFmtId="1" fontId="151" fillId="42" borderId="20" xfId="0" applyNumberFormat="1" applyFont="1" applyFill="1" applyBorder="1" applyAlignment="1">
      <alignment/>
    </xf>
    <xf numFmtId="0" fontId="176" fillId="42" borderId="18" xfId="0" applyFont="1" applyFill="1" applyBorder="1" applyAlignment="1">
      <alignment/>
    </xf>
    <xf numFmtId="0" fontId="176" fillId="42" borderId="19" xfId="0" applyFont="1" applyFill="1" applyBorder="1" applyAlignment="1">
      <alignment/>
    </xf>
    <xf numFmtId="0" fontId="161" fillId="42" borderId="19" xfId="0" applyFont="1" applyFill="1" applyBorder="1" applyAlignment="1">
      <alignment/>
    </xf>
    <xf numFmtId="0" fontId="176" fillId="42" borderId="20" xfId="0" applyFont="1" applyFill="1" applyBorder="1" applyAlignment="1">
      <alignment/>
    </xf>
    <xf numFmtId="1" fontId="149" fillId="42" borderId="0" xfId="0" applyNumberFormat="1" applyFont="1" applyFill="1" applyAlignment="1">
      <alignment/>
    </xf>
    <xf numFmtId="2" fontId="145" fillId="42" borderId="0" xfId="0" applyNumberFormat="1" applyFont="1" applyFill="1" applyAlignment="1">
      <alignment/>
    </xf>
    <xf numFmtId="2" fontId="149" fillId="42" borderId="0" xfId="0" applyNumberFormat="1" applyFont="1" applyFill="1" applyBorder="1" applyAlignment="1">
      <alignment/>
    </xf>
    <xf numFmtId="0" fontId="177" fillId="42" borderId="0" xfId="0" applyFont="1" applyFill="1" applyBorder="1" applyAlignment="1">
      <alignment/>
    </xf>
    <xf numFmtId="2" fontId="149" fillId="42" borderId="0" xfId="0" applyNumberFormat="1" applyFont="1" applyFill="1" applyBorder="1" applyAlignment="1">
      <alignment horizontal="right"/>
    </xf>
    <xf numFmtId="2" fontId="145" fillId="42" borderId="0" xfId="0" applyNumberFormat="1" applyFont="1" applyFill="1" applyBorder="1" applyAlignment="1">
      <alignment/>
    </xf>
    <xf numFmtId="0" fontId="149" fillId="42" borderId="0" xfId="0" applyFont="1" applyFill="1" applyBorder="1" applyAlignment="1">
      <alignment/>
    </xf>
    <xf numFmtId="0" fontId="161" fillId="42" borderId="0" xfId="0" applyFont="1" applyFill="1" applyBorder="1" applyAlignment="1">
      <alignment/>
    </xf>
    <xf numFmtId="0" fontId="149" fillId="42" borderId="0" xfId="0" applyFont="1" applyFill="1" applyBorder="1" applyAlignment="1">
      <alignment horizontal="center"/>
    </xf>
    <xf numFmtId="0" fontId="145" fillId="42" borderId="45" xfId="0" applyFont="1" applyFill="1" applyBorder="1" applyAlignment="1">
      <alignment/>
    </xf>
    <xf numFmtId="0" fontId="145" fillId="42" borderId="46" xfId="0" applyFont="1" applyFill="1" applyBorder="1" applyAlignment="1">
      <alignment/>
    </xf>
    <xf numFmtId="0" fontId="145" fillId="42" borderId="0" xfId="0" applyFont="1" applyFill="1" applyBorder="1" applyAlignment="1">
      <alignment horizontal="left" vertical="top"/>
    </xf>
    <xf numFmtId="0" fontId="149" fillId="42" borderId="0" xfId="0" applyFont="1" applyFill="1" applyBorder="1" applyAlignment="1" quotePrefix="1">
      <alignment horizontal="center"/>
    </xf>
    <xf numFmtId="1" fontId="145" fillId="42" borderId="0" xfId="0" applyNumberFormat="1" applyFont="1" applyFill="1" applyBorder="1" applyAlignment="1">
      <alignment/>
    </xf>
    <xf numFmtId="1" fontId="145" fillId="42" borderId="19" xfId="0" applyNumberFormat="1" applyFont="1" applyFill="1" applyBorder="1" applyAlignment="1">
      <alignment/>
    </xf>
    <xf numFmtId="1" fontId="145" fillId="42" borderId="58" xfId="0" applyNumberFormat="1" applyFont="1" applyFill="1" applyBorder="1" applyAlignment="1">
      <alignment/>
    </xf>
    <xf numFmtId="0" fontId="149" fillId="42" borderId="0" xfId="0" applyFont="1" applyFill="1" applyAlignment="1" quotePrefix="1">
      <alignment/>
    </xf>
    <xf numFmtId="0" fontId="145" fillId="42" borderId="0" xfId="0" applyFont="1" applyFill="1" applyBorder="1" applyAlignment="1">
      <alignment horizontal="center"/>
    </xf>
    <xf numFmtId="1" fontId="149" fillId="42" borderId="0" xfId="0" applyNumberFormat="1" applyFont="1" applyFill="1" applyBorder="1" applyAlignment="1">
      <alignment horizontal="center"/>
    </xf>
    <xf numFmtId="0" fontId="145" fillId="42" borderId="36" xfId="0" applyFont="1" applyFill="1" applyBorder="1" applyAlignment="1">
      <alignment horizontal="center"/>
    </xf>
    <xf numFmtId="0" fontId="145" fillId="42" borderId="52" xfId="0" applyFont="1" applyFill="1" applyBorder="1" applyAlignment="1">
      <alignment/>
    </xf>
    <xf numFmtId="0" fontId="149" fillId="42" borderId="52" xfId="0" applyFont="1" applyFill="1" applyBorder="1" applyAlignment="1">
      <alignment/>
    </xf>
    <xf numFmtId="0" fontId="149" fillId="42" borderId="37" xfId="0" applyFont="1" applyFill="1" applyBorder="1" applyAlignment="1">
      <alignment horizontal="center"/>
    </xf>
    <xf numFmtId="2" fontId="145" fillId="42" borderId="37" xfId="0" applyNumberFormat="1" applyFont="1" applyFill="1" applyBorder="1" applyAlignment="1">
      <alignment/>
    </xf>
    <xf numFmtId="0" fontId="145" fillId="42" borderId="53" xfId="0" applyFont="1" applyFill="1" applyBorder="1" applyAlignment="1">
      <alignment horizontal="center"/>
    </xf>
    <xf numFmtId="2" fontId="145" fillId="42" borderId="54" xfId="0" applyNumberFormat="1" applyFont="1" applyFill="1" applyBorder="1" applyAlignment="1">
      <alignment/>
    </xf>
    <xf numFmtId="0" fontId="145" fillId="42" borderId="55" xfId="0" applyFont="1" applyFill="1" applyBorder="1" applyAlignment="1">
      <alignment horizontal="center"/>
    </xf>
    <xf numFmtId="0" fontId="145" fillId="42" borderId="56" xfId="0" applyFont="1" applyFill="1" applyBorder="1" applyAlignment="1">
      <alignment/>
    </xf>
    <xf numFmtId="0" fontId="149" fillId="42" borderId="56" xfId="0" applyFont="1" applyFill="1" applyBorder="1" applyAlignment="1">
      <alignment/>
    </xf>
    <xf numFmtId="0" fontId="149" fillId="42" borderId="41" xfId="0" applyFont="1" applyFill="1" applyBorder="1" applyAlignment="1">
      <alignment horizontal="center"/>
    </xf>
    <xf numFmtId="2" fontId="145" fillId="42" borderId="41" xfId="0" applyNumberFormat="1" applyFont="1" applyFill="1" applyBorder="1" applyAlignment="1">
      <alignment/>
    </xf>
    <xf numFmtId="0" fontId="145" fillId="42" borderId="29" xfId="0" applyFont="1" applyFill="1" applyBorder="1" applyAlignment="1">
      <alignment/>
    </xf>
    <xf numFmtId="0" fontId="145" fillId="42" borderId="39" xfId="0" applyFont="1" applyFill="1" applyBorder="1" applyAlignment="1">
      <alignment horizontal="center"/>
    </xf>
    <xf numFmtId="0" fontId="145" fillId="42" borderId="57" xfId="0" applyFont="1" applyFill="1" applyBorder="1" applyAlignment="1">
      <alignment/>
    </xf>
    <xf numFmtId="0" fontId="149" fillId="42" borderId="57" xfId="0" applyFont="1" applyFill="1" applyBorder="1" applyAlignment="1">
      <alignment/>
    </xf>
    <xf numFmtId="2" fontId="145" fillId="42" borderId="10" xfId="0" applyNumberFormat="1" applyFont="1" applyFill="1" applyBorder="1" applyAlignment="1">
      <alignment/>
    </xf>
    <xf numFmtId="0" fontId="145" fillId="42" borderId="31" xfId="0" applyFont="1" applyFill="1" applyBorder="1" applyAlignment="1">
      <alignment/>
    </xf>
    <xf numFmtId="0" fontId="145" fillId="42" borderId="34" xfId="0" applyFont="1" applyFill="1" applyBorder="1" applyAlignment="1">
      <alignment/>
    </xf>
    <xf numFmtId="0" fontId="145" fillId="42" borderId="21" xfId="0" applyFont="1" applyFill="1" applyBorder="1" applyAlignment="1">
      <alignment horizontal="center"/>
    </xf>
    <xf numFmtId="0" fontId="145" fillId="42" borderId="58" xfId="0" applyFont="1" applyFill="1" applyBorder="1" applyAlignment="1">
      <alignment/>
    </xf>
    <xf numFmtId="0" fontId="149" fillId="42" borderId="58" xfId="0" applyFont="1" applyFill="1" applyBorder="1" applyAlignment="1">
      <alignment/>
    </xf>
    <xf numFmtId="0" fontId="149" fillId="42" borderId="22" xfId="0" applyFont="1" applyFill="1" applyBorder="1" applyAlignment="1">
      <alignment horizontal="center"/>
    </xf>
    <xf numFmtId="2" fontId="145" fillId="42" borderId="22" xfId="0" applyNumberFormat="1" applyFont="1" applyFill="1" applyBorder="1" applyAlignment="1">
      <alignment/>
    </xf>
    <xf numFmtId="0" fontId="145" fillId="42" borderId="19" xfId="0" applyFont="1" applyFill="1" applyBorder="1" applyAlignment="1">
      <alignment/>
    </xf>
    <xf numFmtId="0" fontId="145" fillId="42" borderId="20" xfId="0" applyFont="1" applyFill="1" applyBorder="1" applyAlignment="1">
      <alignment/>
    </xf>
    <xf numFmtId="0" fontId="165" fillId="44" borderId="0" xfId="0" applyFont="1" applyFill="1" applyAlignment="1">
      <alignment/>
    </xf>
    <xf numFmtId="0" fontId="165" fillId="44" borderId="0" xfId="0" applyFont="1" applyFill="1" applyBorder="1" applyAlignment="1">
      <alignment horizontal="center"/>
    </xf>
    <xf numFmtId="0" fontId="165" fillId="44" borderId="0" xfId="0" applyFont="1" applyFill="1" applyBorder="1" applyAlignment="1">
      <alignment/>
    </xf>
    <xf numFmtId="2" fontId="164" fillId="44" borderId="0" xfId="0" applyNumberFormat="1" applyFont="1" applyFill="1" applyBorder="1" applyAlignment="1">
      <alignment horizontal="center"/>
    </xf>
    <xf numFmtId="0" fontId="168" fillId="44" borderId="0" xfId="0" applyFont="1" applyFill="1" applyAlignment="1">
      <alignment horizontal="center"/>
    </xf>
    <xf numFmtId="0" fontId="160" fillId="44" borderId="0" xfId="0" applyFont="1" applyFill="1" applyAlignment="1">
      <alignment horizontal="center"/>
    </xf>
    <xf numFmtId="0" fontId="164" fillId="44" borderId="27" xfId="0" applyFont="1" applyFill="1" applyBorder="1" applyAlignment="1">
      <alignment/>
    </xf>
    <xf numFmtId="0" fontId="164" fillId="44" borderId="38" xfId="0" applyFont="1" applyFill="1" applyBorder="1" applyAlignment="1">
      <alignment/>
    </xf>
    <xf numFmtId="0" fontId="164" fillId="44" borderId="40" xfId="0" applyFont="1" applyFill="1" applyBorder="1" applyAlignment="1">
      <alignment/>
    </xf>
    <xf numFmtId="0" fontId="166" fillId="44" borderId="43" xfId="0" applyFont="1" applyFill="1" applyBorder="1" applyAlignment="1">
      <alignment/>
    </xf>
    <xf numFmtId="0" fontId="160" fillId="43" borderId="80" xfId="0" applyFont="1" applyFill="1" applyBorder="1" applyAlignment="1">
      <alignment horizontal="center"/>
    </xf>
    <xf numFmtId="0" fontId="160" fillId="43" borderId="49" xfId="0" applyFont="1" applyFill="1" applyBorder="1" applyAlignment="1">
      <alignment horizontal="center"/>
    </xf>
    <xf numFmtId="0" fontId="164" fillId="44" borderId="28" xfId="0" applyFont="1" applyFill="1" applyBorder="1" applyAlignment="1">
      <alignment/>
    </xf>
    <xf numFmtId="0" fontId="166" fillId="44" borderId="30" xfId="0" applyFont="1" applyFill="1" applyBorder="1" applyAlignment="1">
      <alignment/>
    </xf>
    <xf numFmtId="0" fontId="164" fillId="44" borderId="30" xfId="0" applyFont="1" applyFill="1" applyBorder="1" applyAlignment="1">
      <alignment/>
    </xf>
    <xf numFmtId="0" fontId="168" fillId="44" borderId="30" xfId="0" applyFont="1" applyFill="1" applyBorder="1" applyAlignment="1">
      <alignment horizontal="center"/>
    </xf>
    <xf numFmtId="0" fontId="160" fillId="44" borderId="30" xfId="0" applyFont="1" applyFill="1" applyBorder="1" applyAlignment="1">
      <alignment horizontal="center"/>
    </xf>
    <xf numFmtId="2" fontId="160" fillId="44" borderId="30" xfId="0" applyNumberFormat="1" applyFont="1" applyFill="1" applyBorder="1" applyAlignment="1">
      <alignment horizontal="center"/>
    </xf>
    <xf numFmtId="2" fontId="160" fillId="44" borderId="30" xfId="0" applyNumberFormat="1" applyFont="1" applyFill="1" applyBorder="1" applyAlignment="1" quotePrefix="1">
      <alignment horizontal="center"/>
    </xf>
    <xf numFmtId="0" fontId="160" fillId="44" borderId="30" xfId="0" applyFont="1" applyFill="1" applyBorder="1" applyAlignment="1">
      <alignment/>
    </xf>
    <xf numFmtId="0" fontId="164" fillId="44" borderId="30" xfId="0" applyFont="1" applyFill="1" applyBorder="1" applyAlignment="1">
      <alignment horizontal="center"/>
    </xf>
    <xf numFmtId="0" fontId="164" fillId="44" borderId="30" xfId="0" applyFont="1" applyFill="1" applyBorder="1" applyAlignment="1">
      <alignment horizontal="center" vertical="center"/>
    </xf>
    <xf numFmtId="1" fontId="160" fillId="44" borderId="33" xfId="0" applyNumberFormat="1" applyFont="1" applyFill="1" applyBorder="1" applyAlignment="1">
      <alignment horizontal="center"/>
    </xf>
    <xf numFmtId="0" fontId="164" fillId="45" borderId="23" xfId="0" applyFont="1" applyFill="1" applyBorder="1" applyAlignment="1">
      <alignment/>
    </xf>
    <xf numFmtId="0" fontId="164" fillId="45" borderId="23" xfId="0" applyFont="1" applyFill="1" applyBorder="1" applyAlignment="1">
      <alignment vertical="center"/>
    </xf>
    <xf numFmtId="0" fontId="160" fillId="45" borderId="23" xfId="0" applyFont="1" applyFill="1" applyBorder="1" applyAlignment="1">
      <alignment horizontal="left"/>
    </xf>
    <xf numFmtId="0" fontId="160" fillId="45" borderId="23" xfId="0" applyFont="1" applyFill="1" applyBorder="1" applyAlignment="1">
      <alignment/>
    </xf>
    <xf numFmtId="0" fontId="170" fillId="45" borderId="23" xfId="0" applyFont="1" applyFill="1" applyBorder="1" applyAlignment="1">
      <alignment horizontal="left"/>
    </xf>
    <xf numFmtId="0" fontId="160" fillId="45" borderId="25" xfId="0" applyFont="1" applyFill="1" applyBorder="1" applyAlignment="1">
      <alignment/>
    </xf>
    <xf numFmtId="0" fontId="164" fillId="45" borderId="66" xfId="0" applyFont="1" applyFill="1" applyBorder="1" applyAlignment="1">
      <alignment horizontal="center"/>
    </xf>
    <xf numFmtId="0" fontId="160" fillId="45" borderId="11" xfId="0" applyFont="1" applyFill="1" applyBorder="1" applyAlignment="1">
      <alignment horizontal="center"/>
    </xf>
    <xf numFmtId="2" fontId="160" fillId="45" borderId="11" xfId="0" applyNumberFormat="1" applyFont="1" applyFill="1" applyBorder="1" applyAlignment="1">
      <alignment horizontal="center"/>
    </xf>
    <xf numFmtId="1" fontId="168" fillId="45" borderId="32" xfId="0" applyNumberFormat="1" applyFont="1" applyFill="1" applyBorder="1" applyAlignment="1">
      <alignment horizontal="center" vertical="center"/>
    </xf>
    <xf numFmtId="2" fontId="160" fillId="45" borderId="26" xfId="0" applyNumberFormat="1" applyFont="1" applyFill="1" applyBorder="1" applyAlignment="1" quotePrefix="1">
      <alignment horizontal="center"/>
    </xf>
    <xf numFmtId="2" fontId="160" fillId="45" borderId="0" xfId="0" applyNumberFormat="1" applyFont="1" applyFill="1" applyBorder="1" applyAlignment="1">
      <alignment horizontal="center"/>
    </xf>
    <xf numFmtId="2" fontId="160" fillId="45" borderId="0" xfId="0" applyNumberFormat="1" applyFont="1" applyFill="1" applyBorder="1" applyAlignment="1" quotePrefix="1">
      <alignment horizontal="center"/>
    </xf>
    <xf numFmtId="0" fontId="165" fillId="45" borderId="0" xfId="0" applyFont="1" applyFill="1" applyAlignment="1">
      <alignment/>
    </xf>
    <xf numFmtId="0" fontId="160" fillId="45" borderId="0" xfId="0" applyFont="1" applyFill="1" applyAlignment="1">
      <alignment horizontal="center"/>
    </xf>
    <xf numFmtId="0" fontId="165" fillId="45" borderId="0" xfId="0" applyFont="1" applyFill="1" applyBorder="1" applyAlignment="1">
      <alignment/>
    </xf>
    <xf numFmtId="0" fontId="164" fillId="45" borderId="26" xfId="0" applyFont="1" applyFill="1" applyBorder="1" applyAlignment="1">
      <alignment/>
    </xf>
    <xf numFmtId="0" fontId="166" fillId="45" borderId="36" xfId="0" applyFont="1" applyFill="1" applyBorder="1" applyAlignment="1">
      <alignment/>
    </xf>
    <xf numFmtId="0" fontId="166" fillId="45" borderId="39" xfId="0" applyFont="1" applyFill="1" applyBorder="1" applyAlignment="1">
      <alignment/>
    </xf>
    <xf numFmtId="0" fontId="166" fillId="45" borderId="55" xfId="0" applyFont="1" applyFill="1" applyBorder="1" applyAlignment="1">
      <alignment/>
    </xf>
    <xf numFmtId="0" fontId="151" fillId="42" borderId="41" xfId="0" applyFont="1" applyFill="1" applyBorder="1" applyAlignment="1">
      <alignment/>
    </xf>
    <xf numFmtId="1" fontId="151" fillId="42" borderId="41" xfId="0" applyNumberFormat="1" applyFont="1" applyFill="1" applyBorder="1" applyAlignment="1">
      <alignment/>
    </xf>
    <xf numFmtId="0" fontId="178" fillId="0" borderId="0" xfId="0" applyFont="1" applyAlignment="1">
      <alignment/>
    </xf>
    <xf numFmtId="0" fontId="179" fillId="0" borderId="0" xfId="0" applyFont="1" applyAlignment="1">
      <alignment wrapText="1"/>
    </xf>
    <xf numFmtId="0" fontId="180" fillId="46" borderId="91" xfId="0" applyFont="1" applyFill="1" applyBorder="1" applyAlignment="1">
      <alignment horizontal="left" vertical="top" wrapText="1" indent="1"/>
    </xf>
    <xf numFmtId="0" fontId="181" fillId="47" borderId="92" xfId="0" applyFont="1" applyFill="1" applyBorder="1" applyAlignment="1">
      <alignment vertical="top" wrapText="1" indent="1"/>
    </xf>
    <xf numFmtId="0" fontId="181" fillId="48" borderId="92" xfId="0" applyFont="1" applyFill="1" applyBorder="1" applyAlignment="1">
      <alignment vertical="top" wrapText="1" indent="1"/>
    </xf>
    <xf numFmtId="9" fontId="181" fillId="48" borderId="92" xfId="0" applyNumberFormat="1" applyFont="1" applyFill="1" applyBorder="1" applyAlignment="1">
      <alignment vertical="top" wrapText="1" indent="1"/>
    </xf>
    <xf numFmtId="9" fontId="181" fillId="47" borderId="92" xfId="0" applyNumberFormat="1" applyFont="1" applyFill="1" applyBorder="1" applyAlignment="1">
      <alignment vertical="top" wrapText="1" indent="1"/>
    </xf>
    <xf numFmtId="0" fontId="164" fillId="44" borderId="40" xfId="0" applyFont="1" applyFill="1" applyBorder="1" applyAlignment="1" quotePrefix="1">
      <alignment horizontal="center"/>
    </xf>
    <xf numFmtId="1" fontId="170" fillId="44" borderId="34" xfId="0" applyNumberFormat="1" applyFont="1" applyFill="1" applyBorder="1" applyAlignment="1">
      <alignment/>
    </xf>
    <xf numFmtId="17" fontId="170" fillId="44" borderId="10" xfId="0" applyNumberFormat="1" applyFont="1" applyFill="1" applyBorder="1" applyAlignment="1" quotePrefix="1">
      <alignment horizontal="center"/>
    </xf>
    <xf numFmtId="0" fontId="165" fillId="44" borderId="10" xfId="0" applyFont="1" applyFill="1" applyBorder="1" applyAlignment="1">
      <alignment/>
    </xf>
    <xf numFmtId="0" fontId="164" fillId="44" borderId="10" xfId="0" applyFont="1" applyFill="1" applyBorder="1" applyAlignment="1">
      <alignment horizontal="right"/>
    </xf>
    <xf numFmtId="1" fontId="164" fillId="44" borderId="10" xfId="0" applyNumberFormat="1" applyFont="1" applyFill="1" applyBorder="1" applyAlignment="1">
      <alignment horizontal="right"/>
    </xf>
    <xf numFmtId="17" fontId="170" fillId="44" borderId="24" xfId="0" applyNumberFormat="1" applyFont="1" applyFill="1" applyBorder="1" applyAlignment="1" quotePrefix="1">
      <alignment horizontal="center"/>
    </xf>
    <xf numFmtId="0" fontId="165" fillId="44" borderId="24" xfId="0" applyFont="1" applyFill="1" applyBorder="1" applyAlignment="1">
      <alignment/>
    </xf>
    <xf numFmtId="0" fontId="164" fillId="44" borderId="24" xfId="0" applyFont="1" applyFill="1" applyBorder="1" applyAlignment="1">
      <alignment horizontal="right"/>
    </xf>
    <xf numFmtId="1" fontId="164" fillId="44" borderId="24" xfId="0" applyNumberFormat="1" applyFont="1" applyFill="1" applyBorder="1" applyAlignment="1">
      <alignment horizontal="right"/>
    </xf>
    <xf numFmtId="0" fontId="164" fillId="44" borderId="0" xfId="0" applyFont="1" applyFill="1" applyBorder="1" applyAlignment="1">
      <alignment/>
    </xf>
    <xf numFmtId="0" fontId="164" fillId="44" borderId="19" xfId="0" applyFont="1" applyFill="1" applyBorder="1" applyAlignment="1">
      <alignment/>
    </xf>
    <xf numFmtId="1" fontId="170" fillId="44" borderId="34" xfId="0" applyNumberFormat="1" applyFont="1" applyFill="1" applyBorder="1" applyAlignment="1" quotePrefix="1">
      <alignment horizontal="right"/>
    </xf>
    <xf numFmtId="1" fontId="170" fillId="44" borderId="47" xfId="0" applyNumberFormat="1" applyFont="1" applyFill="1" applyBorder="1" applyAlignment="1">
      <alignment/>
    </xf>
    <xf numFmtId="0" fontId="164" fillId="44" borderId="23" xfId="0" applyFont="1" applyFill="1" applyBorder="1" applyAlignment="1">
      <alignment horizontal="center"/>
    </xf>
    <xf numFmtId="1" fontId="170" fillId="44" borderId="30" xfId="0" applyNumberFormat="1" applyFont="1" applyFill="1" applyBorder="1" applyAlignment="1">
      <alignment/>
    </xf>
    <xf numFmtId="1" fontId="170" fillId="44" borderId="55" xfId="0" applyNumberFormat="1" applyFont="1" applyFill="1" applyBorder="1" applyAlignment="1">
      <alignment/>
    </xf>
    <xf numFmtId="1" fontId="43" fillId="41" borderId="10" xfId="0" applyNumberFormat="1" applyFont="1" applyFill="1" applyBorder="1" applyAlignment="1">
      <alignment vertical="center"/>
    </xf>
    <xf numFmtId="1" fontId="14" fillId="41" borderId="10" xfId="0" applyNumberFormat="1" applyFont="1" applyFill="1" applyBorder="1" applyAlignment="1">
      <alignment vertical="center"/>
    </xf>
    <xf numFmtId="0" fontId="164" fillId="44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44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2" fontId="149" fillId="0" borderId="0" xfId="0" applyNumberFormat="1" applyFont="1" applyBorder="1" applyAlignment="1">
      <alignment horizontal="center"/>
    </xf>
    <xf numFmtId="1" fontId="157" fillId="0" borderId="0" xfId="0" applyNumberFormat="1" applyFont="1" applyBorder="1" applyAlignment="1">
      <alignment horizontal="center"/>
    </xf>
    <xf numFmtId="17" fontId="0" fillId="0" borderId="0" xfId="0" applyNumberFormat="1" applyBorder="1" applyAlignment="1">
      <alignment/>
    </xf>
    <xf numFmtId="0" fontId="8" fillId="32" borderId="31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41" borderId="31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43" fillId="42" borderId="17" xfId="0" applyFont="1" applyFill="1" applyBorder="1" applyAlignment="1">
      <alignment horizontal="center"/>
    </xf>
    <xf numFmtId="0" fontId="176" fillId="0" borderId="0" xfId="0" applyFont="1" applyAlignment="1">
      <alignment horizontal="center"/>
    </xf>
    <xf numFmtId="0" fontId="182" fillId="0" borderId="55" xfId="0" applyFont="1" applyBorder="1" applyAlignment="1">
      <alignment/>
    </xf>
    <xf numFmtId="0" fontId="183" fillId="0" borderId="36" xfId="0" applyFont="1" applyBorder="1" applyAlignment="1">
      <alignment/>
    </xf>
    <xf numFmtId="2" fontId="183" fillId="0" borderId="37" xfId="0" applyNumberFormat="1" applyFont="1" applyBorder="1" applyAlignment="1">
      <alignment horizontal="center"/>
    </xf>
    <xf numFmtId="2" fontId="182" fillId="0" borderId="41" xfId="0" applyNumberFormat="1" applyFont="1" applyBorder="1" applyAlignment="1">
      <alignment horizontal="center"/>
    </xf>
    <xf numFmtId="0" fontId="184" fillId="0" borderId="38" xfId="0" applyFont="1" applyBorder="1" applyAlignment="1">
      <alignment/>
    </xf>
    <xf numFmtId="0" fontId="0" fillId="0" borderId="0" xfId="0" applyFont="1" applyAlignment="1">
      <alignment horizontal="center"/>
    </xf>
    <xf numFmtId="0" fontId="184" fillId="0" borderId="0" xfId="0" applyFont="1" applyBorder="1" applyAlignment="1">
      <alignment/>
    </xf>
    <xf numFmtId="0" fontId="0" fillId="0" borderId="0" xfId="0" applyAlignment="1">
      <alignment horizontal="left" vertical="center"/>
    </xf>
    <xf numFmtId="0" fontId="0" fillId="42" borderId="0" xfId="0" applyFill="1" applyAlignment="1">
      <alignment horizontal="center"/>
    </xf>
    <xf numFmtId="0" fontId="0" fillId="42" borderId="0" xfId="0" applyFill="1" applyAlignment="1">
      <alignment/>
    </xf>
    <xf numFmtId="0" fontId="0" fillId="42" borderId="0" xfId="0" applyFill="1" applyAlignment="1">
      <alignment horizontal="left"/>
    </xf>
    <xf numFmtId="2" fontId="0" fillId="0" borderId="0" xfId="0" applyNumberFormat="1" applyAlignment="1">
      <alignment horizontal="left" vertical="center"/>
    </xf>
    <xf numFmtId="0" fontId="0" fillId="41" borderId="0" xfId="0" applyFill="1" applyAlignment="1">
      <alignment horizontal="center"/>
    </xf>
    <xf numFmtId="0" fontId="0" fillId="41" borderId="0" xfId="0" applyFill="1" applyAlignment="1">
      <alignment/>
    </xf>
    <xf numFmtId="0" fontId="0" fillId="41" borderId="0" xfId="0" applyFill="1" applyAlignment="1">
      <alignment horizontal="left"/>
    </xf>
    <xf numFmtId="2" fontId="183" fillId="42" borderId="37" xfId="0" applyNumberFormat="1" applyFont="1" applyFill="1" applyBorder="1" applyAlignment="1">
      <alignment horizontal="center"/>
    </xf>
    <xf numFmtId="0" fontId="183" fillId="0" borderId="0" xfId="0" applyFont="1" applyBorder="1" applyAlignment="1">
      <alignment/>
    </xf>
    <xf numFmtId="2" fontId="183" fillId="0" borderId="0" xfId="0" applyNumberFormat="1" applyFont="1" applyBorder="1" applyAlignment="1">
      <alignment horizontal="center"/>
    </xf>
    <xf numFmtId="0" fontId="149" fillId="42" borderId="10" xfId="0" applyFont="1" applyFill="1" applyBorder="1" applyAlignment="1">
      <alignment horizontal="center"/>
    </xf>
    <xf numFmtId="1" fontId="163" fillId="0" borderId="0" xfId="0" applyNumberFormat="1" applyFont="1" applyAlignment="1">
      <alignment horizontal="left" vertical="center"/>
    </xf>
    <xf numFmtId="0" fontId="0" fillId="0" borderId="0" xfId="0" applyAlignment="1">
      <alignment/>
    </xf>
    <xf numFmtId="0" fontId="0" fillId="42" borderId="0" xfId="0" applyFill="1" applyAlignment="1">
      <alignment/>
    </xf>
    <xf numFmtId="0" fontId="0" fillId="41" borderId="0" xfId="0" applyFill="1" applyAlignment="1">
      <alignment/>
    </xf>
    <xf numFmtId="1" fontId="160" fillId="43" borderId="34" xfId="0" applyNumberFormat="1" applyFont="1" applyFill="1" applyBorder="1" applyAlignment="1">
      <alignment/>
    </xf>
    <xf numFmtId="0" fontId="168" fillId="43" borderId="30" xfId="0" applyFont="1" applyFill="1" applyBorder="1" applyAlignment="1">
      <alignment horizontal="center"/>
    </xf>
    <xf numFmtId="0" fontId="160" fillId="43" borderId="30" xfId="0" applyFont="1" applyFill="1" applyBorder="1" applyAlignment="1">
      <alignment horizontal="center"/>
    </xf>
    <xf numFmtId="0" fontId="145" fillId="49" borderId="21" xfId="0" applyFont="1" applyFill="1" applyBorder="1" applyAlignment="1">
      <alignment/>
    </xf>
    <xf numFmtId="1" fontId="0" fillId="32" borderId="23" xfId="0" applyNumberFormat="1" applyFill="1" applyBorder="1" applyAlignment="1">
      <alignment horizontal="center"/>
    </xf>
    <xf numFmtId="0" fontId="144" fillId="42" borderId="36" xfId="0" applyFont="1" applyFill="1" applyBorder="1" applyAlignment="1">
      <alignment horizontal="center"/>
    </xf>
    <xf numFmtId="0" fontId="144" fillId="42" borderId="37" xfId="0" applyFont="1" applyFill="1" applyBorder="1" applyAlignment="1">
      <alignment horizontal="center"/>
    </xf>
    <xf numFmtId="0" fontId="144" fillId="42" borderId="38" xfId="0" applyFont="1" applyFill="1" applyBorder="1" applyAlignment="1">
      <alignment horizontal="center"/>
    </xf>
    <xf numFmtId="1" fontId="161" fillId="42" borderId="55" xfId="0" applyNumberFormat="1" applyFont="1" applyFill="1" applyBorder="1" applyAlignment="1">
      <alignment horizontal="center"/>
    </xf>
    <xf numFmtId="1" fontId="161" fillId="42" borderId="41" xfId="0" applyNumberFormat="1" applyFont="1" applyFill="1" applyBorder="1" applyAlignment="1">
      <alignment horizontal="center"/>
    </xf>
    <xf numFmtId="0" fontId="161" fillId="42" borderId="43" xfId="0" applyFont="1" applyFill="1" applyBorder="1" applyAlignment="1">
      <alignment horizontal="center"/>
    </xf>
    <xf numFmtId="0" fontId="149" fillId="42" borderId="36" xfId="0" applyFont="1" applyFill="1" applyBorder="1" applyAlignment="1">
      <alignment horizontal="center"/>
    </xf>
    <xf numFmtId="0" fontId="149" fillId="42" borderId="37" xfId="0" applyFont="1" applyFill="1" applyBorder="1" applyAlignment="1">
      <alignment horizontal="center"/>
    </xf>
    <xf numFmtId="0" fontId="149" fillId="42" borderId="38" xfId="0" applyFont="1" applyFill="1" applyBorder="1" applyAlignment="1">
      <alignment horizontal="center"/>
    </xf>
    <xf numFmtId="0" fontId="185" fillId="42" borderId="0" xfId="0" applyFont="1" applyFill="1" applyAlignment="1">
      <alignment horizontal="center"/>
    </xf>
    <xf numFmtId="0" fontId="185" fillId="42" borderId="0" xfId="0" applyFont="1" applyFill="1" applyAlignment="1">
      <alignment horizontal="center" vertical="center"/>
    </xf>
    <xf numFmtId="0" fontId="177" fillId="42" borderId="0" xfId="0" applyFont="1" applyFill="1" applyAlignment="1">
      <alignment horizontal="center"/>
    </xf>
    <xf numFmtId="0" fontId="168" fillId="44" borderId="26" xfId="0" applyFont="1" applyFill="1" applyBorder="1" applyAlignment="1">
      <alignment horizontal="center"/>
    </xf>
    <xf numFmtId="0" fontId="168" fillId="44" borderId="58" xfId="0" applyFont="1" applyFill="1" applyBorder="1" applyAlignment="1">
      <alignment horizontal="center"/>
    </xf>
    <xf numFmtId="0" fontId="168" fillId="44" borderId="27" xfId="0" applyFont="1" applyFill="1" applyBorder="1" applyAlignment="1">
      <alignment horizontal="center"/>
    </xf>
    <xf numFmtId="0" fontId="155" fillId="42" borderId="36" xfId="0" applyFont="1" applyFill="1" applyBorder="1" applyAlignment="1">
      <alignment horizontal="center" vertical="center"/>
    </xf>
    <xf numFmtId="0" fontId="155" fillId="42" borderId="55" xfId="0" applyFont="1" applyFill="1" applyBorder="1" applyAlignment="1">
      <alignment horizontal="center" vertical="center"/>
    </xf>
    <xf numFmtId="0" fontId="155" fillId="42" borderId="37" xfId="0" applyFont="1" applyFill="1" applyBorder="1" applyAlignment="1">
      <alignment horizontal="center" vertical="center"/>
    </xf>
    <xf numFmtId="0" fontId="156" fillId="42" borderId="41" xfId="0" applyFont="1" applyFill="1" applyBorder="1" applyAlignment="1">
      <alignment horizontal="center" vertical="center"/>
    </xf>
    <xf numFmtId="0" fontId="155" fillId="42" borderId="37" xfId="0" applyFont="1" applyFill="1" applyBorder="1" applyAlignment="1">
      <alignment horizontal="center" vertical="center" wrapText="1"/>
    </xf>
    <xf numFmtId="0" fontId="156" fillId="42" borderId="41" xfId="0" applyFont="1" applyFill="1" applyBorder="1" applyAlignment="1">
      <alignment horizontal="center" vertical="center" wrapText="1"/>
    </xf>
    <xf numFmtId="0" fontId="155" fillId="42" borderId="41" xfId="0" applyFont="1" applyFill="1" applyBorder="1" applyAlignment="1">
      <alignment horizontal="center" vertical="center"/>
    </xf>
    <xf numFmtId="0" fontId="169" fillId="43" borderId="32" xfId="0" applyFont="1" applyFill="1" applyBorder="1" applyAlignment="1">
      <alignment horizontal="center"/>
    </xf>
    <xf numFmtId="0" fontId="169" fillId="43" borderId="63" xfId="0" applyFont="1" applyFill="1" applyBorder="1" applyAlignment="1">
      <alignment horizontal="center"/>
    </xf>
    <xf numFmtId="0" fontId="169" fillId="43" borderId="89" xfId="0" applyFont="1" applyFill="1" applyBorder="1" applyAlignment="1">
      <alignment horizontal="center"/>
    </xf>
    <xf numFmtId="0" fontId="164" fillId="43" borderId="44" xfId="0" applyFont="1" applyFill="1" applyBorder="1" applyAlignment="1">
      <alignment horizontal="center"/>
    </xf>
    <xf numFmtId="0" fontId="164" fillId="43" borderId="46" xfId="0" applyFont="1" applyFill="1" applyBorder="1" applyAlignment="1">
      <alignment horizontal="center"/>
    </xf>
    <xf numFmtId="0" fontId="164" fillId="45" borderId="25" xfId="0" applyFont="1" applyFill="1" applyBorder="1" applyAlignment="1">
      <alignment horizontal="justify" vertical="top"/>
    </xf>
    <xf numFmtId="0" fontId="164" fillId="45" borderId="88" xfId="0" applyFont="1" applyFill="1" applyBorder="1" applyAlignment="1">
      <alignment horizontal="justify" vertical="top"/>
    </xf>
    <xf numFmtId="0" fontId="165" fillId="43" borderId="55" xfId="0" applyFont="1" applyFill="1" applyBorder="1" applyAlignment="1">
      <alignment horizontal="center"/>
    </xf>
    <xf numFmtId="0" fontId="165" fillId="43" borderId="41" xfId="0" applyFont="1" applyFill="1" applyBorder="1" applyAlignment="1">
      <alignment horizontal="center"/>
    </xf>
    <xf numFmtId="0" fontId="164" fillId="43" borderId="0" xfId="0" applyFont="1" applyFill="1" applyBorder="1" applyAlignment="1">
      <alignment/>
    </xf>
    <xf numFmtId="0" fontId="177" fillId="42" borderId="12" xfId="0" applyFont="1" applyFill="1" applyBorder="1" applyAlignment="1">
      <alignment horizontal="center"/>
    </xf>
    <xf numFmtId="0" fontId="177" fillId="42" borderId="0" xfId="0" applyFont="1" applyFill="1" applyBorder="1" applyAlignment="1">
      <alignment horizontal="center"/>
    </xf>
    <xf numFmtId="0" fontId="177" fillId="42" borderId="13" xfId="0" applyFont="1" applyFill="1" applyBorder="1" applyAlignment="1">
      <alignment horizontal="center"/>
    </xf>
    <xf numFmtId="0" fontId="149" fillId="42" borderId="22" xfId="0" applyFont="1" applyFill="1" applyBorder="1" applyAlignment="1">
      <alignment horizontal="left"/>
    </xf>
    <xf numFmtId="0" fontId="149" fillId="42" borderId="88" xfId="0" applyFont="1" applyFill="1" applyBorder="1" applyAlignment="1">
      <alignment horizontal="left"/>
    </xf>
    <xf numFmtId="0" fontId="149" fillId="42" borderId="48" xfId="0" applyFont="1" applyFill="1" applyBorder="1" applyAlignment="1">
      <alignment horizontal="left"/>
    </xf>
    <xf numFmtId="0" fontId="149" fillId="42" borderId="47" xfId="0" applyFont="1" applyFill="1" applyBorder="1" applyAlignment="1">
      <alignment horizontal="left"/>
    </xf>
    <xf numFmtId="0" fontId="149" fillId="42" borderId="82" xfId="0" applyFont="1" applyFill="1" applyBorder="1" applyAlignment="1">
      <alignment horizontal="left"/>
    </xf>
    <xf numFmtId="0" fontId="149" fillId="42" borderId="35" xfId="0" applyFont="1" applyFill="1" applyBorder="1" applyAlignment="1">
      <alignment horizontal="left"/>
    </xf>
    <xf numFmtId="0" fontId="149" fillId="42" borderId="83" xfId="0" applyFont="1" applyFill="1" applyBorder="1" applyAlignment="1">
      <alignment horizontal="left"/>
    </xf>
    <xf numFmtId="0" fontId="153" fillId="42" borderId="23" xfId="0" applyFont="1" applyFill="1" applyBorder="1" applyAlignment="1">
      <alignment horizontal="left" vertical="center"/>
    </xf>
    <xf numFmtId="0" fontId="153" fillId="42" borderId="57" xfId="0" applyFont="1" applyFill="1" applyBorder="1" applyAlignment="1">
      <alignment horizontal="left" vertical="center"/>
    </xf>
    <xf numFmtId="0" fontId="153" fillId="42" borderId="49" xfId="0" applyFont="1" applyFill="1" applyBorder="1" applyAlignment="1">
      <alignment horizontal="left" vertical="center"/>
    </xf>
    <xf numFmtId="0" fontId="164" fillId="44" borderId="39" xfId="0" applyFont="1" applyFill="1" applyBorder="1" applyAlignment="1">
      <alignment horizontal="left"/>
    </xf>
    <xf numFmtId="0" fontId="164" fillId="44" borderId="10" xfId="0" applyFont="1" applyFill="1" applyBorder="1" applyAlignment="1">
      <alignment horizontal="left"/>
    </xf>
    <xf numFmtId="0" fontId="186" fillId="44" borderId="23" xfId="0" applyFont="1" applyFill="1" applyBorder="1" applyAlignment="1">
      <alignment horizontal="left" vertical="center"/>
    </xf>
    <xf numFmtId="0" fontId="186" fillId="44" borderId="57" xfId="0" applyFont="1" applyFill="1" applyBorder="1" applyAlignment="1">
      <alignment horizontal="left" vertical="center"/>
    </xf>
    <xf numFmtId="0" fontId="186" fillId="44" borderId="49" xfId="0" applyFont="1" applyFill="1" applyBorder="1" applyAlignment="1">
      <alignment horizontal="left" vertical="center"/>
    </xf>
    <xf numFmtId="0" fontId="145" fillId="42" borderId="39" xfId="0" applyFont="1" applyFill="1" applyBorder="1" applyAlignment="1">
      <alignment horizontal="center"/>
    </xf>
    <xf numFmtId="0" fontId="145" fillId="42" borderId="10" xfId="0" applyFont="1" applyFill="1" applyBorder="1" applyAlignment="1">
      <alignment horizontal="center"/>
    </xf>
    <xf numFmtId="0" fontId="145" fillId="42" borderId="40" xfId="0" applyFont="1" applyFill="1" applyBorder="1" applyAlignment="1">
      <alignment horizontal="center"/>
    </xf>
    <xf numFmtId="0" fontId="149" fillId="42" borderId="23" xfId="0" applyFont="1" applyFill="1" applyBorder="1" applyAlignment="1">
      <alignment horizontal="center"/>
    </xf>
    <xf numFmtId="0" fontId="149" fillId="42" borderId="31" xfId="0" applyFont="1" applyFill="1" applyBorder="1" applyAlignment="1">
      <alignment horizontal="center"/>
    </xf>
    <xf numFmtId="0" fontId="160" fillId="44" borderId="39" xfId="0" applyFont="1" applyFill="1" applyBorder="1" applyAlignment="1">
      <alignment horizontal="center"/>
    </xf>
    <xf numFmtId="0" fontId="160" fillId="44" borderId="10" xfId="0" applyFont="1" applyFill="1" applyBorder="1" applyAlignment="1">
      <alignment horizontal="center"/>
    </xf>
    <xf numFmtId="0" fontId="164" fillId="44" borderId="23" xfId="0" applyFont="1" applyFill="1" applyBorder="1" applyAlignment="1">
      <alignment horizontal="center"/>
    </xf>
    <xf numFmtId="0" fontId="164" fillId="44" borderId="57" xfId="0" applyFont="1" applyFill="1" applyBorder="1" applyAlignment="1">
      <alignment horizontal="center"/>
    </xf>
    <xf numFmtId="0" fontId="164" fillId="44" borderId="31" xfId="0" applyFont="1" applyFill="1" applyBorder="1" applyAlignment="1">
      <alignment horizontal="center"/>
    </xf>
    <xf numFmtId="0" fontId="187" fillId="42" borderId="23" xfId="0" applyFont="1" applyFill="1" applyBorder="1" applyAlignment="1">
      <alignment horizontal="left" vertical="center"/>
    </xf>
    <xf numFmtId="0" fontId="187" fillId="42" borderId="57" xfId="0" applyFont="1" applyFill="1" applyBorder="1" applyAlignment="1">
      <alignment horizontal="left" vertical="center"/>
    </xf>
    <xf numFmtId="0" fontId="187" fillId="42" borderId="49" xfId="0" applyFont="1" applyFill="1" applyBorder="1" applyAlignment="1">
      <alignment horizontal="left" vertical="center"/>
    </xf>
    <xf numFmtId="0" fontId="164" fillId="44" borderId="11" xfId="0" applyFont="1" applyFill="1" applyBorder="1" applyAlignment="1">
      <alignment horizontal="left"/>
    </xf>
    <xf numFmtId="0" fontId="164" fillId="44" borderId="57" xfId="0" applyFont="1" applyFill="1" applyBorder="1" applyAlignment="1">
      <alignment horizontal="left"/>
    </xf>
    <xf numFmtId="0" fontId="164" fillId="44" borderId="49" xfId="0" applyFont="1" applyFill="1" applyBorder="1" applyAlignment="1">
      <alignment horizontal="left"/>
    </xf>
    <xf numFmtId="0" fontId="149" fillId="42" borderId="57" xfId="0" applyFont="1" applyFill="1" applyBorder="1" applyAlignment="1">
      <alignment horizontal="center"/>
    </xf>
    <xf numFmtId="0" fontId="149" fillId="42" borderId="49" xfId="0" applyFont="1" applyFill="1" applyBorder="1" applyAlignment="1">
      <alignment horizontal="center"/>
    </xf>
    <xf numFmtId="0" fontId="149" fillId="42" borderId="39" xfId="0" applyFont="1" applyFill="1" applyBorder="1" applyAlignment="1">
      <alignment horizontal="center"/>
    </xf>
    <xf numFmtId="0" fontId="149" fillId="42" borderId="10" xfId="0" applyFont="1" applyFill="1" applyBorder="1" applyAlignment="1">
      <alignment horizontal="center"/>
    </xf>
    <xf numFmtId="0" fontId="149" fillId="42" borderId="40" xfId="0" applyFont="1" applyFill="1" applyBorder="1" applyAlignment="1">
      <alignment horizontal="center"/>
    </xf>
    <xf numFmtId="0" fontId="149" fillId="42" borderId="23" xfId="0" applyFont="1" applyFill="1" applyBorder="1" applyAlignment="1">
      <alignment horizontal="left"/>
    </xf>
    <xf numFmtId="0" fontId="149" fillId="42" borderId="57" xfId="0" applyFont="1" applyFill="1" applyBorder="1" applyAlignment="1">
      <alignment horizontal="left"/>
    </xf>
    <xf numFmtId="0" fontId="149" fillId="42" borderId="49" xfId="0" applyFont="1" applyFill="1" applyBorder="1" applyAlignment="1">
      <alignment horizontal="left"/>
    </xf>
    <xf numFmtId="0" fontId="161" fillId="42" borderId="39" xfId="0" applyFont="1" applyFill="1" applyBorder="1" applyAlignment="1">
      <alignment horizontal="left"/>
    </xf>
    <xf numFmtId="0" fontId="161" fillId="42" borderId="10" xfId="0" applyFont="1" applyFill="1" applyBorder="1" applyAlignment="1">
      <alignment horizontal="left"/>
    </xf>
    <xf numFmtId="0" fontId="161" fillId="42" borderId="40" xfId="0" applyFont="1" applyFill="1" applyBorder="1" applyAlignment="1">
      <alignment horizontal="left"/>
    </xf>
    <xf numFmtId="0" fontId="149" fillId="42" borderId="31" xfId="0" applyFont="1" applyFill="1" applyBorder="1" applyAlignment="1">
      <alignment horizontal="left"/>
    </xf>
    <xf numFmtId="0" fontId="149" fillId="42" borderId="72" xfId="0" applyFont="1" applyFill="1" applyBorder="1" applyAlignment="1">
      <alignment horizontal="center"/>
    </xf>
    <xf numFmtId="0" fontId="149" fillId="42" borderId="56" xfId="0" applyFont="1" applyFill="1" applyBorder="1" applyAlignment="1">
      <alignment horizontal="center"/>
    </xf>
    <xf numFmtId="0" fontId="149" fillId="42" borderId="34" xfId="0" applyFont="1" applyFill="1" applyBorder="1" applyAlignment="1">
      <alignment horizontal="center"/>
    </xf>
    <xf numFmtId="0" fontId="151" fillId="42" borderId="39" xfId="0" applyFont="1" applyFill="1" applyBorder="1" applyAlignment="1">
      <alignment horizontal="left"/>
    </xf>
    <xf numFmtId="0" fontId="151" fillId="42" borderId="10" xfId="0" applyFont="1" applyFill="1" applyBorder="1" applyAlignment="1">
      <alignment horizontal="left"/>
    </xf>
    <xf numFmtId="0" fontId="151" fillId="42" borderId="40" xfId="0" applyFont="1" applyFill="1" applyBorder="1" applyAlignment="1">
      <alignment horizontal="left"/>
    </xf>
    <xf numFmtId="0" fontId="150" fillId="42" borderId="66" xfId="0" applyFont="1" applyFill="1" applyBorder="1" applyAlignment="1">
      <alignment/>
    </xf>
    <xf numFmtId="0" fontId="150" fillId="42" borderId="52" xfId="0" applyFont="1" applyFill="1" applyBorder="1" applyAlignment="1">
      <alignment/>
    </xf>
    <xf numFmtId="0" fontId="150" fillId="42" borderId="80" xfId="0" applyFont="1" applyFill="1" applyBorder="1" applyAlignment="1">
      <alignment/>
    </xf>
    <xf numFmtId="0" fontId="150" fillId="42" borderId="11" xfId="0" applyFont="1" applyFill="1" applyBorder="1" applyAlignment="1">
      <alignment horizontal="left"/>
    </xf>
    <xf numFmtId="0" fontId="150" fillId="42" borderId="57" xfId="0" applyFont="1" applyFill="1" applyBorder="1" applyAlignment="1">
      <alignment horizontal="left"/>
    </xf>
    <xf numFmtId="0" fontId="150" fillId="42" borderId="49" xfId="0" applyFont="1" applyFill="1" applyBorder="1" applyAlignment="1">
      <alignment horizontal="left"/>
    </xf>
    <xf numFmtId="0" fontId="150" fillId="42" borderId="78" xfId="0" applyFont="1" applyFill="1" applyBorder="1" applyAlignment="1">
      <alignment horizontal="left"/>
    </xf>
    <xf numFmtId="0" fontId="150" fillId="42" borderId="56" xfId="0" applyFont="1" applyFill="1" applyBorder="1" applyAlignment="1">
      <alignment horizontal="left"/>
    </xf>
    <xf numFmtId="0" fontId="150" fillId="42" borderId="81" xfId="0" applyFont="1" applyFill="1" applyBorder="1" applyAlignment="1">
      <alignment horizontal="left"/>
    </xf>
    <xf numFmtId="0" fontId="143" fillId="42" borderId="39" xfId="0" applyFont="1" applyFill="1" applyBorder="1" applyAlignment="1">
      <alignment horizontal="left"/>
    </xf>
    <xf numFmtId="0" fontId="143" fillId="42" borderId="10" xfId="0" applyFont="1" applyFill="1" applyBorder="1" applyAlignment="1">
      <alignment horizontal="left"/>
    </xf>
    <xf numFmtId="0" fontId="143" fillId="42" borderId="40" xfId="0" applyFont="1" applyFill="1" applyBorder="1" applyAlignment="1">
      <alignment horizontal="left"/>
    </xf>
    <xf numFmtId="0" fontId="149" fillId="42" borderId="26" xfId="0" applyFont="1" applyFill="1" applyBorder="1" applyAlignment="1">
      <alignment horizontal="center"/>
    </xf>
    <xf numFmtId="0" fontId="149" fillId="42" borderId="85" xfId="0" applyFont="1" applyFill="1" applyBorder="1" applyAlignment="1">
      <alignment horizontal="center"/>
    </xf>
    <xf numFmtId="0" fontId="149" fillId="42" borderId="71" xfId="0" applyFont="1" applyFill="1" applyBorder="1" applyAlignment="1">
      <alignment horizontal="left"/>
    </xf>
    <xf numFmtId="0" fontId="149" fillId="42" borderId="52" xfId="0" applyFont="1" applyFill="1" applyBorder="1" applyAlignment="1">
      <alignment horizontal="left"/>
    </xf>
    <xf numFmtId="0" fontId="149" fillId="42" borderId="80" xfId="0" applyFont="1" applyFill="1" applyBorder="1" applyAlignment="1">
      <alignment horizontal="left"/>
    </xf>
    <xf numFmtId="0" fontId="165" fillId="45" borderId="0" xfId="0" applyFont="1" applyFill="1" applyBorder="1" applyAlignment="1">
      <alignment horizontal="justify" vertical="center"/>
    </xf>
    <xf numFmtId="0" fontId="164" fillId="44" borderId="0" xfId="0" applyFont="1" applyFill="1" applyBorder="1" applyAlignment="1">
      <alignment horizontal="center"/>
    </xf>
    <xf numFmtId="0" fontId="164" fillId="43" borderId="39" xfId="0" applyFont="1" applyFill="1" applyBorder="1" applyAlignment="1">
      <alignment horizontal="left"/>
    </xf>
    <xf numFmtId="0" fontId="164" fillId="43" borderId="10" xfId="0" applyFont="1" applyFill="1" applyBorder="1" applyAlignment="1">
      <alignment horizontal="left"/>
    </xf>
    <xf numFmtId="0" fontId="164" fillId="43" borderId="40" xfId="0" applyFont="1" applyFill="1" applyBorder="1" applyAlignment="1">
      <alignment horizontal="left"/>
    </xf>
    <xf numFmtId="0" fontId="165" fillId="43" borderId="0" xfId="0" applyFont="1" applyFill="1" applyBorder="1" applyAlignment="1">
      <alignment horizontal="center"/>
    </xf>
    <xf numFmtId="0" fontId="149" fillId="42" borderId="10" xfId="0" applyFont="1" applyFill="1" applyBorder="1" applyAlignment="1">
      <alignment horizontal="left"/>
    </xf>
    <xf numFmtId="17" fontId="165" fillId="43" borderId="0" xfId="0" applyNumberFormat="1" applyFont="1" applyFill="1" applyBorder="1" applyAlignment="1">
      <alignment horizontal="center"/>
    </xf>
    <xf numFmtId="0" fontId="149" fillId="42" borderId="39" xfId="0" applyFont="1" applyFill="1" applyBorder="1" applyAlignment="1">
      <alignment horizontal="left"/>
    </xf>
    <xf numFmtId="0" fontId="149" fillId="42" borderId="40" xfId="0" applyFont="1" applyFill="1" applyBorder="1" applyAlignment="1">
      <alignment horizontal="left"/>
    </xf>
    <xf numFmtId="0" fontId="161" fillId="42" borderId="55" xfId="0" applyFont="1" applyFill="1" applyBorder="1" applyAlignment="1">
      <alignment horizontal="left"/>
    </xf>
    <xf numFmtId="0" fontId="161" fillId="42" borderId="41" xfId="0" applyFont="1" applyFill="1" applyBorder="1" applyAlignment="1">
      <alignment horizontal="left"/>
    </xf>
    <xf numFmtId="0" fontId="161" fillId="42" borderId="43" xfId="0" applyFont="1" applyFill="1" applyBorder="1" applyAlignment="1">
      <alignment horizontal="left"/>
    </xf>
    <xf numFmtId="0" fontId="164" fillId="44" borderId="23" xfId="0" applyFont="1" applyFill="1" applyBorder="1" applyAlignment="1">
      <alignment horizontal="left"/>
    </xf>
    <xf numFmtId="0" fontId="164" fillId="44" borderId="31" xfId="0" applyFont="1" applyFill="1" applyBorder="1" applyAlignment="1">
      <alignment horizontal="left"/>
    </xf>
    <xf numFmtId="0" fontId="155" fillId="42" borderId="18" xfId="0" applyFont="1" applyFill="1" applyBorder="1" applyAlignment="1">
      <alignment horizontal="left" vertical="center" wrapText="1"/>
    </xf>
    <xf numFmtId="0" fontId="155" fillId="42" borderId="19" xfId="0" applyFont="1" applyFill="1" applyBorder="1" applyAlignment="1">
      <alignment horizontal="left" vertical="center" wrapText="1"/>
    </xf>
    <xf numFmtId="0" fontId="155" fillId="42" borderId="58" xfId="0" applyFont="1" applyFill="1" applyBorder="1" applyAlignment="1">
      <alignment horizontal="left" vertical="center" wrapText="1"/>
    </xf>
    <xf numFmtId="0" fontId="155" fillId="42" borderId="27" xfId="0" applyFont="1" applyFill="1" applyBorder="1" applyAlignment="1">
      <alignment horizontal="left" vertical="center" wrapText="1"/>
    </xf>
    <xf numFmtId="0" fontId="188" fillId="42" borderId="12" xfId="0" applyFont="1" applyFill="1" applyBorder="1" applyAlignment="1">
      <alignment horizontal="left"/>
    </xf>
    <xf numFmtId="0" fontId="188" fillId="42" borderId="0" xfId="0" applyFont="1" applyFill="1" applyBorder="1" applyAlignment="1">
      <alignment horizontal="left"/>
    </xf>
    <xf numFmtId="0" fontId="188" fillId="42" borderId="13" xfId="0" applyFont="1" applyFill="1" applyBorder="1" applyAlignment="1">
      <alignment horizontal="left"/>
    </xf>
    <xf numFmtId="0" fontId="145" fillId="42" borderId="23" xfId="0" applyFont="1" applyFill="1" applyBorder="1" applyAlignment="1">
      <alignment horizontal="center"/>
    </xf>
    <xf numFmtId="0" fontId="145" fillId="42" borderId="57" xfId="0" applyFont="1" applyFill="1" applyBorder="1" applyAlignment="1">
      <alignment horizontal="center"/>
    </xf>
    <xf numFmtId="0" fontId="145" fillId="42" borderId="31" xfId="0" applyFont="1" applyFill="1" applyBorder="1" applyAlignment="1">
      <alignment horizontal="center"/>
    </xf>
    <xf numFmtId="2" fontId="145" fillId="42" borderId="72" xfId="0" applyNumberFormat="1" applyFont="1" applyFill="1" applyBorder="1" applyAlignment="1">
      <alignment horizontal="right"/>
    </xf>
    <xf numFmtId="0" fontId="145" fillId="42" borderId="56" xfId="0" applyFont="1" applyFill="1" applyBorder="1" applyAlignment="1">
      <alignment horizontal="right"/>
    </xf>
    <xf numFmtId="0" fontId="145" fillId="42" borderId="34" xfId="0" applyFont="1" applyFill="1" applyBorder="1" applyAlignment="1">
      <alignment horizontal="right"/>
    </xf>
    <xf numFmtId="2" fontId="145" fillId="42" borderId="51" xfId="0" applyNumberFormat="1" applyFont="1" applyFill="1" applyBorder="1" applyAlignment="1">
      <alignment horizontal="right"/>
    </xf>
    <xf numFmtId="0" fontId="145" fillId="42" borderId="58" xfId="0" applyFont="1" applyFill="1" applyBorder="1" applyAlignment="1">
      <alignment horizontal="right"/>
    </xf>
    <xf numFmtId="0" fontId="145" fillId="42" borderId="27" xfId="0" applyFont="1" applyFill="1" applyBorder="1" applyAlignment="1">
      <alignment horizontal="right"/>
    </xf>
    <xf numFmtId="0" fontId="164" fillId="43" borderId="0" xfId="0" applyFont="1" applyFill="1" applyBorder="1" applyAlignment="1">
      <alignment horizontal="center"/>
    </xf>
    <xf numFmtId="0" fontId="189" fillId="43" borderId="12" xfId="0" applyFont="1" applyFill="1" applyBorder="1" applyAlignment="1">
      <alignment horizontal="center"/>
    </xf>
    <xf numFmtId="0" fontId="189" fillId="43" borderId="0" xfId="0" applyFont="1" applyFill="1" applyBorder="1" applyAlignment="1">
      <alignment horizontal="center"/>
    </xf>
    <xf numFmtId="0" fontId="189" fillId="43" borderId="13" xfId="0" applyFont="1" applyFill="1" applyBorder="1" applyAlignment="1">
      <alignment horizontal="center"/>
    </xf>
    <xf numFmtId="0" fontId="164" fillId="43" borderId="12" xfId="0" applyFont="1" applyFill="1" applyBorder="1" applyAlignment="1">
      <alignment horizontal="justify" vertical="top"/>
    </xf>
    <xf numFmtId="0" fontId="164" fillId="43" borderId="0" xfId="0" applyFont="1" applyFill="1" applyBorder="1" applyAlignment="1">
      <alignment horizontal="justify" vertical="top"/>
    </xf>
    <xf numFmtId="0" fontId="145" fillId="42" borderId="71" xfId="0" applyFont="1" applyFill="1" applyBorder="1" applyAlignment="1">
      <alignment horizontal="center"/>
    </xf>
    <xf numFmtId="0" fontId="145" fillId="42" borderId="52" xfId="0" applyFont="1" applyFill="1" applyBorder="1" applyAlignment="1">
      <alignment horizontal="center"/>
    </xf>
    <xf numFmtId="0" fontId="145" fillId="42" borderId="29" xfId="0" applyFont="1" applyFill="1" applyBorder="1" applyAlignment="1">
      <alignment horizontal="center"/>
    </xf>
    <xf numFmtId="1" fontId="151" fillId="42" borderId="41" xfId="0" applyNumberFormat="1" applyFont="1" applyFill="1" applyBorder="1" applyAlignment="1">
      <alignment horizontal="center"/>
    </xf>
    <xf numFmtId="1" fontId="151" fillId="42" borderId="43" xfId="0" applyNumberFormat="1" applyFont="1" applyFill="1" applyBorder="1" applyAlignment="1">
      <alignment horizontal="center"/>
    </xf>
    <xf numFmtId="0" fontId="6" fillId="32" borderId="11" xfId="0" applyFont="1" applyFill="1" applyBorder="1" applyAlignment="1">
      <alignment horizontal="left"/>
    </xf>
    <xf numFmtId="0" fontId="6" fillId="32" borderId="57" xfId="0" applyFont="1" applyFill="1" applyBorder="1" applyAlignment="1">
      <alignment horizontal="left"/>
    </xf>
    <xf numFmtId="0" fontId="6" fillId="32" borderId="49" xfId="0" applyFont="1" applyFill="1" applyBorder="1" applyAlignment="1">
      <alignment horizontal="left"/>
    </xf>
    <xf numFmtId="0" fontId="149" fillId="0" borderId="11" xfId="0" applyFont="1" applyBorder="1" applyAlignment="1">
      <alignment horizontal="left"/>
    </xf>
    <xf numFmtId="0" fontId="149" fillId="0" borderId="57" xfId="0" applyFont="1" applyBorder="1" applyAlignment="1">
      <alignment horizontal="left"/>
    </xf>
    <xf numFmtId="0" fontId="149" fillId="0" borderId="49" xfId="0" applyFont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7" xfId="0" applyBorder="1" applyAlignment="1">
      <alignment horizontal="center"/>
    </xf>
    <xf numFmtId="17" fontId="0" fillId="0" borderId="71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32" borderId="39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0" fontId="2" fillId="32" borderId="40" xfId="0" applyFont="1" applyFill="1" applyBorder="1" applyAlignment="1">
      <alignment horizontal="left"/>
    </xf>
    <xf numFmtId="0" fontId="5" fillId="32" borderId="39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left"/>
    </xf>
    <xf numFmtId="0" fontId="5" fillId="32" borderId="40" xfId="0" applyFont="1" applyFill="1" applyBorder="1" applyAlignment="1">
      <alignment horizontal="left"/>
    </xf>
    <xf numFmtId="0" fontId="43" fillId="32" borderId="23" xfId="0" applyFont="1" applyFill="1" applyBorder="1" applyAlignment="1">
      <alignment horizontal="left" vertical="center"/>
    </xf>
    <xf numFmtId="0" fontId="43" fillId="32" borderId="57" xfId="0" applyFont="1" applyFill="1" applyBorder="1" applyAlignment="1">
      <alignment horizontal="left" vertical="center"/>
    </xf>
    <xf numFmtId="0" fontId="43" fillId="32" borderId="49" xfId="0" applyFont="1" applyFill="1" applyBorder="1" applyAlignment="1">
      <alignment horizontal="left" vertical="center"/>
    </xf>
    <xf numFmtId="0" fontId="0" fillId="32" borderId="39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32" borderId="40" xfId="0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0" fontId="2" fillId="32" borderId="57" xfId="0" applyFont="1" applyFill="1" applyBorder="1" applyAlignment="1">
      <alignment horizontal="center"/>
    </xf>
    <xf numFmtId="0" fontId="2" fillId="41" borderId="31" xfId="0" applyFont="1" applyFill="1" applyBorder="1" applyAlignment="1">
      <alignment horizontal="center"/>
    </xf>
    <xf numFmtId="0" fontId="2" fillId="41" borderId="49" xfId="0" applyFont="1" applyFill="1" applyBorder="1" applyAlignment="1">
      <alignment horizontal="center"/>
    </xf>
    <xf numFmtId="0" fontId="11" fillId="32" borderId="66" xfId="0" applyFont="1" applyFill="1" applyBorder="1" applyAlignment="1">
      <alignment/>
    </xf>
    <xf numFmtId="0" fontId="11" fillId="32" borderId="52" xfId="0" applyFont="1" applyFill="1" applyBorder="1" applyAlignment="1">
      <alignment/>
    </xf>
    <xf numFmtId="0" fontId="11" fillId="32" borderId="80" xfId="0" applyFont="1" applyFill="1" applyBorder="1" applyAlignment="1">
      <alignment/>
    </xf>
    <xf numFmtId="0" fontId="2" fillId="32" borderId="72" xfId="0" applyFont="1" applyFill="1" applyBorder="1" applyAlignment="1">
      <alignment horizontal="center"/>
    </xf>
    <xf numFmtId="0" fontId="2" fillId="32" borderId="56" xfId="0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42" fillId="4" borderId="28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3" fillId="32" borderId="0" xfId="0" applyFont="1" applyFill="1" applyAlignment="1">
      <alignment horizontal="center"/>
    </xf>
    <xf numFmtId="0" fontId="11" fillId="32" borderId="11" xfId="0" applyFont="1" applyFill="1" applyBorder="1" applyAlignment="1">
      <alignment horizontal="left"/>
    </xf>
    <xf numFmtId="0" fontId="11" fillId="32" borderId="57" xfId="0" applyFont="1" applyFill="1" applyBorder="1" applyAlignment="1">
      <alignment horizontal="left"/>
    </xf>
    <xf numFmtId="0" fontId="11" fillId="32" borderId="49" xfId="0" applyFont="1" applyFill="1" applyBorder="1" applyAlignment="1">
      <alignment horizontal="left"/>
    </xf>
    <xf numFmtId="0" fontId="2" fillId="32" borderId="88" xfId="0" applyFont="1" applyFill="1" applyBorder="1" applyAlignment="1">
      <alignment horizontal="left"/>
    </xf>
    <xf numFmtId="0" fontId="2" fillId="32" borderId="48" xfId="0" applyFont="1" applyFill="1" applyBorder="1" applyAlignment="1">
      <alignment horizontal="left"/>
    </xf>
    <xf numFmtId="0" fontId="2" fillId="32" borderId="31" xfId="0" applyFont="1" applyFill="1" applyBorder="1" applyAlignment="1">
      <alignment horizontal="left"/>
    </xf>
    <xf numFmtId="0" fontId="2" fillId="32" borderId="23" xfId="0" applyFont="1" applyFill="1" applyBorder="1" applyAlignment="1">
      <alignment horizontal="left"/>
    </xf>
    <xf numFmtId="0" fontId="2" fillId="32" borderId="57" xfId="0" applyFont="1" applyFill="1" applyBorder="1" applyAlignment="1">
      <alignment horizontal="left"/>
    </xf>
    <xf numFmtId="0" fontId="2" fillId="32" borderId="49" xfId="0" applyFont="1" applyFill="1" applyBorder="1" applyAlignment="1">
      <alignment horizontal="left"/>
    </xf>
    <xf numFmtId="0" fontId="2" fillId="32" borderId="26" xfId="0" applyFont="1" applyFill="1" applyBorder="1" applyAlignment="1">
      <alignment horizontal="center"/>
    </xf>
    <xf numFmtId="0" fontId="2" fillId="32" borderId="85" xfId="0" applyFont="1" applyFill="1" applyBorder="1" applyAlignment="1">
      <alignment horizontal="center"/>
    </xf>
    <xf numFmtId="0" fontId="2" fillId="32" borderId="71" xfId="0" applyFont="1" applyFill="1" applyBorder="1" applyAlignment="1">
      <alignment horizontal="left"/>
    </xf>
    <xf numFmtId="0" fontId="2" fillId="32" borderId="52" xfId="0" applyFont="1" applyFill="1" applyBorder="1" applyAlignment="1">
      <alignment horizontal="left"/>
    </xf>
    <xf numFmtId="0" fontId="2" fillId="32" borderId="80" xfId="0" applyFont="1" applyFill="1" applyBorder="1" applyAlignment="1">
      <alignment horizontal="left"/>
    </xf>
    <xf numFmtId="0" fontId="6" fillId="39" borderId="39" xfId="0" applyFont="1" applyFill="1" applyBorder="1" applyAlignment="1">
      <alignment horizontal="left"/>
    </xf>
    <xf numFmtId="0" fontId="6" fillId="39" borderId="10" xfId="0" applyFont="1" applyFill="1" applyBorder="1" applyAlignment="1">
      <alignment horizontal="left"/>
    </xf>
    <xf numFmtId="0" fontId="6" fillId="39" borderId="40" xfId="0" applyFont="1" applyFill="1" applyBorder="1" applyAlignment="1">
      <alignment horizontal="left"/>
    </xf>
    <xf numFmtId="0" fontId="16" fillId="32" borderId="26" xfId="0" applyFont="1" applyFill="1" applyBorder="1" applyAlignment="1">
      <alignment horizontal="center"/>
    </xf>
    <xf numFmtId="0" fontId="16" fillId="32" borderId="58" xfId="0" applyFont="1" applyFill="1" applyBorder="1" applyAlignment="1">
      <alignment horizontal="center"/>
    </xf>
    <xf numFmtId="0" fontId="16" fillId="32" borderId="27" xfId="0" applyFont="1" applyFill="1" applyBorder="1" applyAlignment="1">
      <alignment horizontal="center"/>
    </xf>
    <xf numFmtId="0" fontId="6" fillId="32" borderId="39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left"/>
    </xf>
    <xf numFmtId="0" fontId="57" fillId="32" borderId="0" xfId="0" applyFont="1" applyFill="1" applyAlignment="1">
      <alignment horizontal="center"/>
    </xf>
    <xf numFmtId="0" fontId="57" fillId="32" borderId="0" xfId="0" applyFont="1" applyFill="1" applyAlignment="1">
      <alignment horizontal="center" vertical="center"/>
    </xf>
    <xf numFmtId="0" fontId="14" fillId="32" borderId="23" xfId="0" applyFont="1" applyFill="1" applyBorder="1" applyAlignment="1">
      <alignment horizontal="left" vertical="center"/>
    </xf>
    <xf numFmtId="0" fontId="14" fillId="32" borderId="57" xfId="0" applyFont="1" applyFill="1" applyBorder="1" applyAlignment="1">
      <alignment horizontal="left" vertical="center"/>
    </xf>
    <xf numFmtId="0" fontId="14" fillId="32" borderId="49" xfId="0" applyFont="1" applyFill="1" applyBorder="1" applyAlignment="1">
      <alignment horizontal="left" vertical="center"/>
    </xf>
    <xf numFmtId="0" fontId="43" fillId="32" borderId="23" xfId="0" applyFont="1" applyFill="1" applyBorder="1" applyAlignment="1">
      <alignment horizontal="left" vertical="center"/>
    </xf>
    <xf numFmtId="0" fontId="43" fillId="32" borderId="57" xfId="0" applyFont="1" applyFill="1" applyBorder="1" applyAlignment="1">
      <alignment horizontal="left" vertical="center"/>
    </xf>
    <xf numFmtId="0" fontId="43" fillId="32" borderId="49" xfId="0" applyFont="1" applyFill="1" applyBorder="1" applyAlignment="1">
      <alignment horizontal="left" vertical="center"/>
    </xf>
    <xf numFmtId="0" fontId="53" fillId="0" borderId="45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42" fillId="39" borderId="61" xfId="0" applyFont="1" applyFill="1" applyBorder="1" applyAlignment="1">
      <alignment horizontal="center" vertical="center"/>
    </xf>
    <xf numFmtId="0" fontId="42" fillId="39" borderId="79" xfId="0" applyFont="1" applyFill="1" applyBorder="1" applyAlignment="1">
      <alignment horizontal="center" vertical="center"/>
    </xf>
    <xf numFmtId="0" fontId="0" fillId="32" borderId="23" xfId="0" applyFill="1" applyBorder="1" applyAlignment="1">
      <alignment horizontal="center"/>
    </xf>
    <xf numFmtId="0" fontId="0" fillId="32" borderId="5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2" fontId="0" fillId="32" borderId="51" xfId="0" applyNumberFormat="1" applyFont="1" applyFill="1" applyBorder="1" applyAlignment="1">
      <alignment horizontal="right"/>
    </xf>
    <xf numFmtId="0" fontId="0" fillId="32" borderId="58" xfId="0" applyFont="1" applyFill="1" applyBorder="1" applyAlignment="1">
      <alignment horizontal="right"/>
    </xf>
    <xf numFmtId="0" fontId="0" fillId="32" borderId="27" xfId="0" applyFont="1" applyFill="1" applyBorder="1" applyAlignment="1">
      <alignment horizontal="right"/>
    </xf>
    <xf numFmtId="0" fontId="0" fillId="32" borderId="71" xfId="0" applyFont="1" applyFill="1" applyBorder="1" applyAlignment="1">
      <alignment horizontal="center"/>
    </xf>
    <xf numFmtId="0" fontId="0" fillId="32" borderId="52" xfId="0" applyFont="1" applyFill="1" applyBorder="1" applyAlignment="1">
      <alignment horizontal="center"/>
    </xf>
    <xf numFmtId="0" fontId="0" fillId="32" borderId="29" xfId="0" applyFont="1" applyFill="1" applyBorder="1" applyAlignment="1">
      <alignment horizontal="center"/>
    </xf>
    <xf numFmtId="0" fontId="0" fillId="32" borderId="23" xfId="0" applyFont="1" applyFill="1" applyBorder="1" applyAlignment="1">
      <alignment horizontal="center"/>
    </xf>
    <xf numFmtId="0" fontId="0" fillId="32" borderId="57" xfId="0" applyFont="1" applyFill="1" applyBorder="1" applyAlignment="1">
      <alignment horizontal="center"/>
    </xf>
    <xf numFmtId="0" fontId="0" fillId="32" borderId="3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justify" vertical="top"/>
    </xf>
    <xf numFmtId="0" fontId="2" fillId="32" borderId="0" xfId="0" applyFont="1" applyFill="1" applyBorder="1" applyAlignment="1">
      <alignment horizontal="justify" vertical="top"/>
    </xf>
    <xf numFmtId="17" fontId="0" fillId="0" borderId="23" xfId="0" applyNumberFormat="1" applyBorder="1" applyAlignment="1">
      <alignment horizontal="center"/>
    </xf>
    <xf numFmtId="0" fontId="63" fillId="32" borderId="12" xfId="0" applyFont="1" applyFill="1" applyBorder="1" applyAlignment="1">
      <alignment horizontal="center"/>
    </xf>
    <xf numFmtId="0" fontId="63" fillId="32" borderId="0" xfId="0" applyFont="1" applyFill="1" applyBorder="1" applyAlignment="1">
      <alignment horizontal="center"/>
    </xf>
    <xf numFmtId="0" fontId="63" fillId="32" borderId="13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55" fillId="39" borderId="39" xfId="0" applyFont="1" applyFill="1" applyBorder="1" applyAlignment="1">
      <alignment horizontal="center"/>
    </xf>
    <xf numFmtId="0" fontId="55" fillId="39" borderId="10" xfId="0" applyFont="1" applyFill="1" applyBorder="1" applyAlignment="1">
      <alignment horizontal="center"/>
    </xf>
    <xf numFmtId="2" fontId="0" fillId="32" borderId="72" xfId="0" applyNumberFormat="1" applyFont="1" applyFill="1" applyBorder="1" applyAlignment="1">
      <alignment horizontal="right"/>
    </xf>
    <xf numFmtId="0" fontId="0" fillId="32" borderId="56" xfId="0" applyFont="1" applyFill="1" applyBorder="1" applyAlignment="1">
      <alignment horizontal="right"/>
    </xf>
    <xf numFmtId="0" fontId="0" fillId="32" borderId="34" xfId="0" applyFont="1" applyFill="1" applyBorder="1" applyAlignment="1">
      <alignment horizontal="right"/>
    </xf>
    <xf numFmtId="0" fontId="5" fillId="32" borderId="55" xfId="0" applyFont="1" applyFill="1" applyBorder="1" applyAlignment="1">
      <alignment horizontal="left"/>
    </xf>
    <xf numFmtId="0" fontId="5" fillId="32" borderId="41" xfId="0" applyFont="1" applyFill="1" applyBorder="1" applyAlignment="1">
      <alignment horizontal="left"/>
    </xf>
    <xf numFmtId="0" fontId="5" fillId="32" borderId="43" xfId="0" applyFont="1" applyFill="1" applyBorder="1" applyAlignment="1">
      <alignment horizontal="left"/>
    </xf>
    <xf numFmtId="0" fontId="44" fillId="32" borderId="23" xfId="0" applyFont="1" applyFill="1" applyBorder="1" applyAlignment="1">
      <alignment horizontal="left" vertical="center"/>
    </xf>
    <xf numFmtId="0" fontId="44" fillId="32" borderId="57" xfId="0" applyFont="1" applyFill="1" applyBorder="1" applyAlignment="1">
      <alignment horizontal="left" vertical="center"/>
    </xf>
    <xf numFmtId="0" fontId="44" fillId="32" borderId="49" xfId="0" applyFont="1" applyFill="1" applyBorder="1" applyAlignment="1">
      <alignment horizontal="left" vertical="center"/>
    </xf>
    <xf numFmtId="0" fontId="42" fillId="4" borderId="38" xfId="0" applyFont="1" applyFill="1" applyBorder="1" applyAlignment="1">
      <alignment horizontal="center" vertical="center"/>
    </xf>
    <xf numFmtId="0" fontId="1" fillId="4" borderId="84" xfId="0" applyFont="1" applyFill="1" applyBorder="1" applyAlignment="1">
      <alignment horizontal="center" vertical="center"/>
    </xf>
    <xf numFmtId="0" fontId="42" fillId="4" borderId="29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42" fillId="4" borderId="37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2" borderId="82" xfId="0" applyFont="1" applyFill="1" applyBorder="1" applyAlignment="1">
      <alignment horizontal="left"/>
    </xf>
    <xf numFmtId="0" fontId="2" fillId="32" borderId="35" xfId="0" applyFont="1" applyFill="1" applyBorder="1" applyAlignment="1">
      <alignment horizontal="left"/>
    </xf>
    <xf numFmtId="0" fontId="2" fillId="32" borderId="83" xfId="0" applyFont="1" applyFill="1" applyBorder="1" applyAlignment="1">
      <alignment horizontal="left"/>
    </xf>
    <xf numFmtId="0" fontId="56" fillId="32" borderId="44" xfId="0" applyFont="1" applyFill="1" applyBorder="1" applyAlignment="1">
      <alignment horizontal="center"/>
    </xf>
    <xf numFmtId="0" fontId="56" fillId="32" borderId="45" xfId="0" applyFont="1" applyFill="1" applyBorder="1" applyAlignment="1">
      <alignment horizontal="center"/>
    </xf>
    <xf numFmtId="0" fontId="56" fillId="32" borderId="46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left"/>
    </xf>
    <xf numFmtId="0" fontId="0" fillId="0" borderId="55" xfId="0" applyBorder="1" applyAlignment="1">
      <alignment horizontal="center"/>
    </xf>
    <xf numFmtId="0" fontId="0" fillId="0" borderId="41" xfId="0" applyBorder="1" applyAlignment="1">
      <alignment horizontal="center"/>
    </xf>
    <xf numFmtId="0" fontId="145" fillId="43" borderId="13" xfId="0" applyFont="1" applyFill="1" applyBorder="1" applyAlignment="1">
      <alignment horizontal="justify" vertical="center"/>
    </xf>
    <xf numFmtId="0" fontId="0" fillId="45" borderId="13" xfId="0" applyFill="1" applyBorder="1" applyAlignment="1">
      <alignment horizontal="justify" vertical="center"/>
    </xf>
    <xf numFmtId="0" fontId="6" fillId="0" borderId="24" xfId="0" applyFont="1" applyBorder="1" applyAlignment="1">
      <alignment horizontal="justify" vertical="top"/>
    </xf>
    <xf numFmtId="0" fontId="6" fillId="0" borderId="35" xfId="0" applyFont="1" applyBorder="1" applyAlignment="1">
      <alignment horizontal="justify" vertical="top"/>
    </xf>
    <xf numFmtId="0" fontId="2" fillId="32" borderId="47" xfId="0" applyFont="1" applyFill="1" applyBorder="1" applyAlignment="1">
      <alignment horizontal="left"/>
    </xf>
    <xf numFmtId="0" fontId="12" fillId="32" borderId="12" xfId="0" applyFont="1" applyFill="1" applyBorder="1" applyAlignment="1">
      <alignment horizontal="left"/>
    </xf>
    <xf numFmtId="0" fontId="12" fillId="32" borderId="0" xfId="0" applyFont="1" applyFill="1" applyBorder="1" applyAlignment="1">
      <alignment horizontal="left"/>
    </xf>
    <xf numFmtId="0" fontId="12" fillId="32" borderId="13" xfId="0" applyFont="1" applyFill="1" applyBorder="1" applyAlignment="1">
      <alignment horizontal="left"/>
    </xf>
    <xf numFmtId="0" fontId="7" fillId="32" borderId="39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7" fillId="32" borderId="40" xfId="0" applyFont="1" applyFill="1" applyBorder="1" applyAlignment="1">
      <alignment horizontal="left"/>
    </xf>
    <xf numFmtId="0" fontId="11" fillId="32" borderId="78" xfId="0" applyFont="1" applyFill="1" applyBorder="1" applyAlignment="1">
      <alignment horizontal="left"/>
    </xf>
    <xf numFmtId="0" fontId="11" fillId="32" borderId="56" xfId="0" applyFont="1" applyFill="1" applyBorder="1" applyAlignment="1">
      <alignment horizontal="left"/>
    </xf>
    <xf numFmtId="0" fontId="11" fillId="32" borderId="81" xfId="0" applyFont="1" applyFill="1" applyBorder="1" applyAlignment="1">
      <alignment horizontal="left"/>
    </xf>
    <xf numFmtId="0" fontId="42" fillId="32" borderId="18" xfId="0" applyFont="1" applyFill="1" applyBorder="1" applyAlignment="1">
      <alignment horizontal="left" vertical="center" wrapText="1"/>
    </xf>
    <xf numFmtId="0" fontId="42" fillId="32" borderId="19" xfId="0" applyFont="1" applyFill="1" applyBorder="1" applyAlignment="1">
      <alignment horizontal="left" vertical="center" wrapText="1"/>
    </xf>
    <xf numFmtId="0" fontId="42" fillId="32" borderId="58" xfId="0" applyFont="1" applyFill="1" applyBorder="1" applyAlignment="1">
      <alignment horizontal="left" vertical="center" wrapText="1"/>
    </xf>
    <xf numFmtId="0" fontId="42" fillId="32" borderId="27" xfId="0" applyFont="1" applyFill="1" applyBorder="1" applyAlignment="1">
      <alignment horizontal="left" vertical="center" wrapText="1"/>
    </xf>
    <xf numFmtId="0" fontId="34" fillId="34" borderId="32" xfId="0" applyFont="1" applyFill="1" applyBorder="1" applyAlignment="1">
      <alignment horizontal="center"/>
    </xf>
    <xf numFmtId="0" fontId="34" fillId="34" borderId="63" xfId="0" applyFont="1" applyFill="1" applyBorder="1" applyAlignment="1">
      <alignment horizontal="center"/>
    </xf>
    <xf numFmtId="0" fontId="34" fillId="34" borderId="89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42" fillId="4" borderId="36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42" fillId="4" borderId="37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6" fillId="32" borderId="39" xfId="0" applyFont="1" applyFill="1" applyBorder="1" applyAlignment="1">
      <alignment horizontal="left"/>
    </xf>
    <xf numFmtId="0" fontId="16" fillId="32" borderId="10" xfId="0" applyFont="1" applyFill="1" applyBorder="1" applyAlignment="1">
      <alignment horizontal="left"/>
    </xf>
    <xf numFmtId="0" fontId="16" fillId="32" borderId="40" xfId="0" applyFont="1" applyFill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6" fillId="32" borderId="0" xfId="0" applyFont="1" applyFill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/>
    </xf>
    <xf numFmtId="0" fontId="42" fillId="41" borderId="61" xfId="0" applyFont="1" applyFill="1" applyBorder="1" applyAlignment="1">
      <alignment horizontal="center" vertical="center"/>
    </xf>
    <xf numFmtId="0" fontId="42" fillId="41" borderId="79" xfId="0" applyFont="1" applyFill="1" applyBorder="1" applyAlignment="1">
      <alignment horizontal="center" vertical="center"/>
    </xf>
    <xf numFmtId="1" fontId="2" fillId="0" borderId="62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1" fillId="41" borderId="28" xfId="0" applyFont="1" applyFill="1" applyBorder="1" applyAlignment="1">
      <alignment horizontal="center" vertical="center"/>
    </xf>
    <xf numFmtId="0" fontId="12" fillId="41" borderId="33" xfId="0" applyFont="1" applyFill="1" applyBorder="1" applyAlignment="1">
      <alignment horizontal="center" vertical="center"/>
    </xf>
    <xf numFmtId="0" fontId="11" fillId="41" borderId="36" xfId="0" applyFont="1" applyFill="1" applyBorder="1" applyAlignment="1">
      <alignment horizontal="center" vertical="center"/>
    </xf>
    <xf numFmtId="0" fontId="12" fillId="41" borderId="50" xfId="0" applyFont="1" applyFill="1" applyBorder="1" applyAlignment="1">
      <alignment horizontal="center" vertical="center"/>
    </xf>
    <xf numFmtId="0" fontId="11" fillId="41" borderId="37" xfId="0" applyFont="1" applyFill="1" applyBorder="1" applyAlignment="1">
      <alignment horizontal="center" vertical="center" wrapText="1"/>
    </xf>
    <xf numFmtId="0" fontId="12" fillId="41" borderId="24" xfId="0" applyFont="1" applyFill="1" applyBorder="1" applyAlignment="1">
      <alignment horizontal="center" vertical="center" wrapText="1"/>
    </xf>
    <xf numFmtId="0" fontId="11" fillId="41" borderId="37" xfId="0" applyFont="1" applyFill="1" applyBorder="1" applyAlignment="1">
      <alignment horizontal="center" vertical="center"/>
    </xf>
    <xf numFmtId="0" fontId="12" fillId="41" borderId="24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1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0" fontId="187" fillId="0" borderId="0" xfId="0" applyFont="1" applyAlignment="1">
      <alignment horizontal="left"/>
    </xf>
    <xf numFmtId="0" fontId="149" fillId="33" borderId="23" xfId="0" applyFont="1" applyFill="1" applyBorder="1" applyAlignment="1">
      <alignment horizontal="center"/>
    </xf>
    <xf numFmtId="0" fontId="149" fillId="33" borderId="57" xfId="0" applyFont="1" applyFill="1" applyBorder="1" applyAlignment="1">
      <alignment horizontal="center"/>
    </xf>
    <xf numFmtId="0" fontId="149" fillId="33" borderId="49" xfId="0" applyFont="1" applyFill="1" applyBorder="1" applyAlignment="1">
      <alignment horizontal="center"/>
    </xf>
    <xf numFmtId="0" fontId="53" fillId="0" borderId="44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67" fillId="32" borderId="44" xfId="0" applyFont="1" applyFill="1" applyBorder="1" applyAlignment="1">
      <alignment horizontal="center"/>
    </xf>
    <xf numFmtId="0" fontId="67" fillId="32" borderId="45" xfId="0" applyFont="1" applyFill="1" applyBorder="1" applyAlignment="1">
      <alignment horizontal="center"/>
    </xf>
    <xf numFmtId="0" fontId="67" fillId="32" borderId="46" xfId="0" applyFont="1" applyFill="1" applyBorder="1" applyAlignment="1">
      <alignment horizontal="center"/>
    </xf>
    <xf numFmtId="0" fontId="33" fillId="0" borderId="0" xfId="0" applyFont="1" applyAlignment="1">
      <alignment horizontal="justify" vertical="center" wrapText="1"/>
    </xf>
    <xf numFmtId="0" fontId="42" fillId="41" borderId="68" xfId="0" applyFont="1" applyFill="1" applyBorder="1" applyAlignment="1">
      <alignment horizontal="center" vertical="center" wrapText="1"/>
    </xf>
    <xf numFmtId="0" fontId="1" fillId="41" borderId="77" xfId="0" applyFont="1" applyFill="1" applyBorder="1" applyAlignment="1">
      <alignment horizontal="center" vertical="center" wrapText="1"/>
    </xf>
    <xf numFmtId="0" fontId="11" fillId="41" borderId="29" xfId="0" applyFont="1" applyFill="1" applyBorder="1" applyAlignment="1">
      <alignment horizontal="center" vertical="center"/>
    </xf>
    <xf numFmtId="0" fontId="12" fillId="41" borderId="34" xfId="0" applyFont="1" applyFill="1" applyBorder="1" applyAlignment="1">
      <alignment horizontal="center" vertical="center"/>
    </xf>
    <xf numFmtId="1" fontId="161" fillId="0" borderId="19" xfId="0" applyNumberFormat="1" applyFont="1" applyBorder="1" applyAlignment="1">
      <alignment horizontal="right"/>
    </xf>
    <xf numFmtId="0" fontId="161" fillId="0" borderId="19" xfId="0" applyFont="1" applyBorder="1" applyAlignment="1">
      <alignment horizontal="right"/>
    </xf>
    <xf numFmtId="0" fontId="26" fillId="0" borderId="0" xfId="0" applyFont="1" applyAlignment="1">
      <alignment horizontal="left"/>
    </xf>
    <xf numFmtId="1" fontId="5" fillId="0" borderId="58" xfId="0" applyNumberFormat="1" applyFont="1" applyBorder="1" applyAlignment="1">
      <alignment horizontal="right"/>
    </xf>
    <xf numFmtId="0" fontId="33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2" fontId="15" fillId="0" borderId="10" xfId="0" applyNumberFormat="1" applyFont="1" applyBorder="1" applyAlignment="1">
      <alignment horizontal="right" vertical="center"/>
    </xf>
    <xf numFmtId="0" fontId="15" fillId="0" borderId="23" xfId="0" applyFont="1" applyBorder="1" applyAlignment="1">
      <alignment horizontal="left" vertical="center"/>
    </xf>
    <xf numFmtId="0" fontId="15" fillId="0" borderId="57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90" fillId="0" borderId="57" xfId="0" applyFont="1" applyBorder="1" applyAlignment="1">
      <alignment horizontal="center" vertical="center"/>
    </xf>
    <xf numFmtId="0" fontId="190" fillId="0" borderId="49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14" fillId="0" borderId="6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3" fillId="0" borderId="62" xfId="0" applyFont="1" applyBorder="1" applyAlignment="1">
      <alignment horizontal="left" vertical="center"/>
    </xf>
    <xf numFmtId="0" fontId="153" fillId="0" borderId="0" xfId="0" applyFont="1" applyBorder="1" applyAlignment="1">
      <alignment horizontal="left" vertical="center"/>
    </xf>
    <xf numFmtId="0" fontId="153" fillId="0" borderId="62" xfId="0" applyFont="1" applyFill="1" applyBorder="1" applyAlignment="1">
      <alignment horizontal="left" vertical="center"/>
    </xf>
    <xf numFmtId="0" fontId="153" fillId="0" borderId="0" xfId="0" applyFont="1" applyFill="1" applyBorder="1" applyAlignment="1">
      <alignment horizontal="left" vertical="center"/>
    </xf>
    <xf numFmtId="0" fontId="14" fillId="0" borderId="88" xfId="0" applyFont="1" applyFill="1" applyBorder="1" applyAlignment="1">
      <alignment horizontal="left" vertical="center"/>
    </xf>
    <xf numFmtId="0" fontId="14" fillId="0" borderId="48" xfId="0" applyFont="1" applyFill="1" applyBorder="1" applyAlignment="1">
      <alignment horizontal="left" vertical="center"/>
    </xf>
    <xf numFmtId="0" fontId="11" fillId="0" borderId="88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23" fillId="0" borderId="5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37" fillId="0" borderId="62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3" fillId="0" borderId="63" xfId="0" applyFont="1" applyBorder="1" applyAlignment="1">
      <alignment horizontal="left" vertical="center"/>
    </xf>
    <xf numFmtId="0" fontId="26" fillId="0" borderId="88" xfId="0" applyFont="1" applyBorder="1" applyAlignment="1">
      <alignment horizontal="left" vertical="center"/>
    </xf>
    <xf numFmtId="0" fontId="26" fillId="0" borderId="48" xfId="0" applyFont="1" applyBorder="1" applyAlignment="1">
      <alignment horizontal="left" vertical="center"/>
    </xf>
    <xf numFmtId="0" fontId="41" fillId="0" borderId="88" xfId="0" applyFont="1" applyBorder="1" applyAlignment="1">
      <alignment horizontal="left" vertical="center"/>
    </xf>
    <xf numFmtId="0" fontId="41" fillId="0" borderId="48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 wrapText="1"/>
    </xf>
    <xf numFmtId="0" fontId="43" fillId="0" borderId="63" xfId="0" applyFont="1" applyBorder="1" applyAlignment="1">
      <alignment horizontal="left" vertical="center" wrapText="1"/>
    </xf>
    <xf numFmtId="0" fontId="43" fillId="0" borderId="62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1" fillId="0" borderId="88" xfId="0" applyFont="1" applyBorder="1" applyAlignment="1">
      <alignment horizontal="left" vertical="center" wrapText="1"/>
    </xf>
    <xf numFmtId="0" fontId="41" fillId="0" borderId="48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/>
    </xf>
    <xf numFmtId="0" fontId="26" fillId="0" borderId="57" xfId="0" applyFont="1" applyBorder="1" applyAlignment="1">
      <alignment horizontal="left" vertical="center"/>
    </xf>
    <xf numFmtId="0" fontId="26" fillId="0" borderId="23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33" fillId="0" borderId="62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1" fontId="50" fillId="32" borderId="62" xfId="0" applyNumberFormat="1" applyFont="1" applyFill="1" applyBorder="1" applyAlignment="1" quotePrefix="1">
      <alignment horizontal="center"/>
    </xf>
    <xf numFmtId="1" fontId="50" fillId="32" borderId="86" xfId="0" applyNumberFormat="1" applyFont="1" applyFill="1" applyBorder="1" applyAlignment="1" quotePrefix="1">
      <alignment horizontal="center"/>
    </xf>
    <xf numFmtId="0" fontId="33" fillId="0" borderId="62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3" fillId="0" borderId="23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1" fontId="191" fillId="0" borderId="23" xfId="0" applyNumberFormat="1" applyFont="1" applyBorder="1" applyAlignment="1">
      <alignment horizontal="center" vertical="center"/>
    </xf>
    <xf numFmtId="0" fontId="191" fillId="0" borderId="49" xfId="0" applyFont="1" applyBorder="1" applyAlignment="1">
      <alignment horizontal="center" vertical="center"/>
    </xf>
    <xf numFmtId="0" fontId="69" fillId="0" borderId="23" xfId="0" applyFont="1" applyBorder="1" applyAlignment="1">
      <alignment horizontal="left" vertical="center"/>
    </xf>
    <xf numFmtId="0" fontId="69" fillId="0" borderId="57" xfId="0" applyFont="1" applyBorder="1" applyAlignment="1">
      <alignment horizontal="left" vertical="center"/>
    </xf>
    <xf numFmtId="0" fontId="33" fillId="0" borderId="23" xfId="0" applyFont="1" applyBorder="1" applyAlignment="1">
      <alignment horizontal="left" vertical="center"/>
    </xf>
    <xf numFmtId="0" fontId="33" fillId="0" borderId="57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6" fillId="0" borderId="63" xfId="0" applyFont="1" applyBorder="1" applyAlignment="1">
      <alignment horizontal="left" vertical="center"/>
    </xf>
    <xf numFmtId="0" fontId="152" fillId="0" borderId="23" xfId="0" applyFont="1" applyBorder="1" applyAlignment="1">
      <alignment horizontal="left" vertical="center"/>
    </xf>
    <xf numFmtId="0" fontId="152" fillId="0" borderId="57" xfId="0" applyFont="1" applyBorder="1" applyAlignment="1">
      <alignment horizontal="left" vertical="center"/>
    </xf>
    <xf numFmtId="0" fontId="152" fillId="0" borderId="49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5" fillId="32" borderId="66" xfId="0" applyFont="1" applyFill="1" applyBorder="1" applyAlignment="1">
      <alignment horizontal="left"/>
    </xf>
    <xf numFmtId="0" fontId="155" fillId="32" borderId="52" xfId="0" applyFont="1" applyFill="1" applyBorder="1" applyAlignment="1">
      <alignment horizontal="left"/>
    </xf>
    <xf numFmtId="0" fontId="155" fillId="32" borderId="29" xfId="0" applyFont="1" applyFill="1" applyBorder="1" applyAlignment="1">
      <alignment horizontal="left"/>
    </xf>
    <xf numFmtId="0" fontId="42" fillId="32" borderId="88" xfId="0" applyFont="1" applyFill="1" applyBorder="1" applyAlignment="1">
      <alignment horizontal="left"/>
    </xf>
    <xf numFmtId="0" fontId="42" fillId="32" borderId="48" xfId="0" applyFont="1" applyFill="1" applyBorder="1" applyAlignment="1">
      <alignment horizontal="left"/>
    </xf>
    <xf numFmtId="0" fontId="42" fillId="32" borderId="47" xfId="0" applyFont="1" applyFill="1" applyBorder="1" applyAlignment="1">
      <alignment horizontal="left"/>
    </xf>
    <xf numFmtId="0" fontId="42" fillId="32" borderId="11" xfId="0" applyFont="1" applyFill="1" applyBorder="1" applyAlignment="1">
      <alignment horizontal="left"/>
    </xf>
    <xf numFmtId="0" fontId="42" fillId="32" borderId="57" xfId="0" applyFont="1" applyFill="1" applyBorder="1" applyAlignment="1">
      <alignment horizontal="left"/>
    </xf>
    <xf numFmtId="0" fontId="15" fillId="32" borderId="23" xfId="0" applyFont="1" applyFill="1" applyBorder="1" applyAlignment="1">
      <alignment horizontal="left" vertical="center"/>
    </xf>
    <xf numFmtId="0" fontId="15" fillId="32" borderId="57" xfId="0" applyFont="1" applyFill="1" applyBorder="1" applyAlignment="1">
      <alignment horizontal="left" vertical="center"/>
    </xf>
    <xf numFmtId="0" fontId="15" fillId="32" borderId="49" xfId="0" applyFont="1" applyFill="1" applyBorder="1" applyAlignment="1">
      <alignment horizontal="left" vertical="center"/>
    </xf>
    <xf numFmtId="0" fontId="53" fillId="32" borderId="11" xfId="0" applyFont="1" applyFill="1" applyBorder="1" applyAlignment="1">
      <alignment horizontal="left"/>
    </xf>
    <xf numFmtId="0" fontId="53" fillId="32" borderId="57" xfId="0" applyFont="1" applyFill="1" applyBorder="1" applyAlignment="1">
      <alignment horizontal="left"/>
    </xf>
    <xf numFmtId="0" fontId="53" fillId="32" borderId="49" xfId="0" applyFont="1" applyFill="1" applyBorder="1" applyAlignment="1">
      <alignment horizontal="left"/>
    </xf>
    <xf numFmtId="0" fontId="1" fillId="32" borderId="11" xfId="0" applyFont="1" applyFill="1" applyBorder="1" applyAlignment="1">
      <alignment horizontal="center"/>
    </xf>
    <xf numFmtId="0" fontId="1" fillId="32" borderId="57" xfId="0" applyFont="1" applyFill="1" applyBorder="1" applyAlignment="1">
      <alignment horizontal="center"/>
    </xf>
    <xf numFmtId="0" fontId="42" fillId="32" borderId="49" xfId="0" applyFont="1" applyFill="1" applyBorder="1" applyAlignment="1">
      <alignment horizontal="left"/>
    </xf>
    <xf numFmtId="0" fontId="71" fillId="39" borderId="11" xfId="0" applyFont="1" applyFill="1" applyBorder="1" applyAlignment="1">
      <alignment horizontal="center"/>
    </xf>
    <xf numFmtId="0" fontId="71" fillId="39" borderId="57" xfId="0" applyFont="1" applyFill="1" applyBorder="1" applyAlignment="1">
      <alignment horizontal="center"/>
    </xf>
    <xf numFmtId="0" fontId="42" fillId="32" borderId="23" xfId="0" applyFont="1" applyFill="1" applyBorder="1" applyAlignment="1">
      <alignment horizontal="center"/>
    </xf>
    <xf numFmtId="0" fontId="42" fillId="32" borderId="57" xfId="0" applyFont="1" applyFill="1" applyBorder="1" applyAlignment="1">
      <alignment horizontal="center"/>
    </xf>
    <xf numFmtId="0" fontId="42" fillId="32" borderId="49" xfId="0" applyFont="1" applyFill="1" applyBorder="1" applyAlignment="1">
      <alignment horizontal="center"/>
    </xf>
    <xf numFmtId="0" fontId="42" fillId="32" borderId="31" xfId="0" applyFont="1" applyFill="1" applyBorder="1" applyAlignment="1">
      <alignment horizontal="center"/>
    </xf>
    <xf numFmtId="0" fontId="42" fillId="32" borderId="23" xfId="0" applyFont="1" applyFill="1" applyBorder="1" applyAlignment="1">
      <alignment horizontal="left"/>
    </xf>
    <xf numFmtId="0" fontId="42" fillId="32" borderId="31" xfId="0" applyFont="1" applyFill="1" applyBorder="1" applyAlignment="1">
      <alignment horizontal="left"/>
    </xf>
    <xf numFmtId="0" fontId="42" fillId="32" borderId="72" xfId="0" applyFont="1" applyFill="1" applyBorder="1" applyAlignment="1">
      <alignment horizontal="center"/>
    </xf>
    <xf numFmtId="0" fontId="42" fillId="32" borderId="56" xfId="0" applyFont="1" applyFill="1" applyBorder="1" applyAlignment="1">
      <alignment horizontal="center"/>
    </xf>
    <xf numFmtId="0" fontId="42" fillId="32" borderId="34" xfId="0" applyFont="1" applyFill="1" applyBorder="1" applyAlignment="1">
      <alignment horizontal="center"/>
    </xf>
    <xf numFmtId="0" fontId="42" fillId="32" borderId="66" xfId="0" applyFont="1" applyFill="1" applyBorder="1" applyAlignment="1" quotePrefix="1">
      <alignment/>
    </xf>
    <xf numFmtId="0" fontId="42" fillId="32" borderId="52" xfId="0" applyFont="1" applyFill="1" applyBorder="1" applyAlignment="1">
      <alignment/>
    </xf>
    <xf numFmtId="0" fontId="42" fillId="32" borderId="80" xfId="0" applyFont="1" applyFill="1" applyBorder="1" applyAlignment="1">
      <alignment/>
    </xf>
    <xf numFmtId="0" fontId="42" fillId="32" borderId="11" xfId="0" applyFont="1" applyFill="1" applyBorder="1" applyAlignment="1" quotePrefix="1">
      <alignment horizontal="left"/>
    </xf>
    <xf numFmtId="0" fontId="42" fillId="32" borderId="78" xfId="0" applyFont="1" applyFill="1" applyBorder="1" applyAlignment="1" quotePrefix="1">
      <alignment horizontal="left"/>
    </xf>
    <xf numFmtId="0" fontId="42" fillId="32" borderId="56" xfId="0" applyFont="1" applyFill="1" applyBorder="1" applyAlignment="1">
      <alignment horizontal="left"/>
    </xf>
    <xf numFmtId="0" fontId="42" fillId="32" borderId="81" xfId="0" applyFont="1" applyFill="1" applyBorder="1" applyAlignment="1">
      <alignment horizontal="left"/>
    </xf>
    <xf numFmtId="0" fontId="42" fillId="32" borderId="26" xfId="0" applyFont="1" applyFill="1" applyBorder="1" applyAlignment="1">
      <alignment horizontal="center"/>
    </xf>
    <xf numFmtId="0" fontId="42" fillId="32" borderId="85" xfId="0" applyFont="1" applyFill="1" applyBorder="1" applyAlignment="1">
      <alignment horizontal="center"/>
    </xf>
    <xf numFmtId="0" fontId="42" fillId="32" borderId="71" xfId="0" applyFont="1" applyFill="1" applyBorder="1" applyAlignment="1">
      <alignment horizontal="left"/>
    </xf>
    <xf numFmtId="0" fontId="42" fillId="32" borderId="52" xfId="0" applyFont="1" applyFill="1" applyBorder="1" applyAlignment="1">
      <alignment horizontal="left"/>
    </xf>
    <xf numFmtId="0" fontId="42" fillId="32" borderId="80" xfId="0" applyFont="1" applyFill="1" applyBorder="1" applyAlignment="1">
      <alignment horizontal="left"/>
    </xf>
    <xf numFmtId="0" fontId="53" fillId="0" borderId="26" xfId="0" applyFont="1" applyBorder="1" applyAlignment="1">
      <alignment horizontal="center"/>
    </xf>
    <xf numFmtId="0" fontId="53" fillId="0" borderId="58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53" fillId="39" borderId="11" xfId="0" applyFont="1" applyFill="1" applyBorder="1" applyAlignment="1">
      <alignment horizontal="left"/>
    </xf>
    <xf numFmtId="0" fontId="53" fillId="39" borderId="57" xfId="0" applyFont="1" applyFill="1" applyBorder="1" applyAlignment="1">
      <alignment horizontal="left"/>
    </xf>
    <xf numFmtId="0" fontId="1" fillId="32" borderId="12" xfId="0" applyFont="1" applyFill="1" applyBorder="1" applyAlignment="1">
      <alignment horizontal="left"/>
    </xf>
    <xf numFmtId="0" fontId="1" fillId="32" borderId="0" xfId="0" applyFont="1" applyFill="1" applyBorder="1" applyAlignment="1">
      <alignment horizontal="left"/>
    </xf>
    <xf numFmtId="0" fontId="1" fillId="32" borderId="13" xfId="0" applyFont="1" applyFill="1" applyBorder="1" applyAlignment="1">
      <alignment horizontal="left"/>
    </xf>
    <xf numFmtId="0" fontId="1" fillId="0" borderId="5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2" fillId="32" borderId="10" xfId="0" applyFont="1" applyFill="1" applyBorder="1" applyAlignment="1">
      <alignment horizontal="left"/>
    </xf>
    <xf numFmtId="17" fontId="1" fillId="0" borderId="71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32" borderId="72" xfId="0" applyNumberFormat="1" applyFont="1" applyFill="1" applyBorder="1" applyAlignment="1">
      <alignment horizontal="right"/>
    </xf>
    <xf numFmtId="0" fontId="1" fillId="32" borderId="56" xfId="0" applyFont="1" applyFill="1" applyBorder="1" applyAlignment="1">
      <alignment horizontal="right"/>
    </xf>
    <xf numFmtId="0" fontId="1" fillId="32" borderId="34" xfId="0" applyFont="1" applyFill="1" applyBorder="1" applyAlignment="1">
      <alignment horizontal="right"/>
    </xf>
    <xf numFmtId="2" fontId="1" fillId="32" borderId="51" xfId="0" applyNumberFormat="1" applyFont="1" applyFill="1" applyBorder="1" applyAlignment="1">
      <alignment horizontal="right"/>
    </xf>
    <xf numFmtId="0" fontId="1" fillId="32" borderId="58" xfId="0" applyFont="1" applyFill="1" applyBorder="1" applyAlignment="1">
      <alignment horizontal="right"/>
    </xf>
    <xf numFmtId="0" fontId="1" fillId="32" borderId="27" xfId="0" applyFont="1" applyFill="1" applyBorder="1" applyAlignment="1">
      <alignment horizontal="right"/>
    </xf>
    <xf numFmtId="0" fontId="53" fillId="0" borderId="45" xfId="0" applyFont="1" applyBorder="1" applyAlignment="1">
      <alignment horizontal="center"/>
    </xf>
    <xf numFmtId="0" fontId="42" fillId="32" borderId="0" xfId="0" applyFont="1" applyFill="1" applyBorder="1" applyAlignment="1">
      <alignment horizontal="center"/>
    </xf>
    <xf numFmtId="0" fontId="42" fillId="32" borderId="12" xfId="0" applyFont="1" applyFill="1" applyBorder="1" applyAlignment="1">
      <alignment horizontal="justify" vertical="top"/>
    </xf>
    <xf numFmtId="0" fontId="42" fillId="32" borderId="0" xfId="0" applyFont="1" applyFill="1" applyBorder="1" applyAlignment="1">
      <alignment horizontal="justify" vertical="top"/>
    </xf>
    <xf numFmtId="0" fontId="1" fillId="32" borderId="71" xfId="0" applyFont="1" applyFill="1" applyBorder="1" applyAlignment="1">
      <alignment horizontal="center"/>
    </xf>
    <xf numFmtId="0" fontId="1" fillId="32" borderId="52" xfId="0" applyFont="1" applyFill="1" applyBorder="1" applyAlignment="1">
      <alignment horizontal="center"/>
    </xf>
    <xf numFmtId="0" fontId="1" fillId="32" borderId="29" xfId="0" applyFont="1" applyFill="1" applyBorder="1" applyAlignment="1">
      <alignment horizontal="center"/>
    </xf>
    <xf numFmtId="0" fontId="1" fillId="32" borderId="23" xfId="0" applyFont="1" applyFill="1" applyBorder="1" applyAlignment="1">
      <alignment horizontal="center"/>
    </xf>
    <xf numFmtId="0" fontId="1" fillId="32" borderId="31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17" fontId="1" fillId="0" borderId="23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2" fillId="32" borderId="26" xfId="0" applyFont="1" applyFill="1" applyBorder="1" applyAlignment="1">
      <alignment horizontal="left" vertical="center" wrapText="1"/>
    </xf>
    <xf numFmtId="1" fontId="7" fillId="32" borderId="35" xfId="0" applyNumberFormat="1" applyFont="1" applyFill="1" applyBorder="1" applyAlignment="1">
      <alignment horizontal="right"/>
    </xf>
    <xf numFmtId="1" fontId="192" fillId="32" borderId="10" xfId="0" applyNumberFormat="1" applyFont="1" applyFill="1" applyBorder="1" applyAlignment="1">
      <alignment horizontal="right"/>
    </xf>
    <xf numFmtId="0" fontId="56" fillId="32" borderId="12" xfId="0" applyFont="1" applyFill="1" applyBorder="1" applyAlignment="1">
      <alignment horizontal="center"/>
    </xf>
    <xf numFmtId="0" fontId="56" fillId="32" borderId="0" xfId="0" applyFont="1" applyFill="1" applyBorder="1" applyAlignment="1">
      <alignment horizontal="center"/>
    </xf>
    <xf numFmtId="0" fontId="56" fillId="32" borderId="13" xfId="0" applyFont="1" applyFill="1" applyBorder="1" applyAlignment="1">
      <alignment horizontal="center"/>
    </xf>
    <xf numFmtId="0" fontId="2" fillId="32" borderId="51" xfId="0" applyFont="1" applyFill="1" applyBorder="1" applyAlignment="1">
      <alignment horizontal="left"/>
    </xf>
    <xf numFmtId="0" fontId="2" fillId="32" borderId="58" xfId="0" applyFont="1" applyFill="1" applyBorder="1" applyAlignment="1">
      <alignment horizontal="left"/>
    </xf>
    <xf numFmtId="0" fontId="2" fillId="32" borderId="21" xfId="0" applyFont="1" applyFill="1" applyBorder="1" applyAlignment="1">
      <alignment horizontal="left"/>
    </xf>
    <xf numFmtId="0" fontId="14" fillId="32" borderId="58" xfId="0" applyFont="1" applyFill="1" applyBorder="1" applyAlignment="1">
      <alignment horizontal="left" vertical="center"/>
    </xf>
    <xf numFmtId="0" fontId="2" fillId="32" borderId="25" xfId="0" applyFont="1" applyFill="1" applyBorder="1" applyAlignment="1">
      <alignment horizontal="center"/>
    </xf>
    <xf numFmtId="0" fontId="2" fillId="32" borderId="63" xfId="0" applyFont="1" applyFill="1" applyBorder="1" applyAlignment="1">
      <alignment horizontal="center"/>
    </xf>
    <xf numFmtId="0" fontId="2" fillId="41" borderId="89" xfId="0" applyFont="1" applyFill="1" applyBorder="1" applyAlignment="1">
      <alignment horizontal="center"/>
    </xf>
    <xf numFmtId="1" fontId="151" fillId="0" borderId="79" xfId="0" applyNumberFormat="1" applyFont="1" applyBorder="1" applyAlignment="1">
      <alignment horizontal="right"/>
    </xf>
    <xf numFmtId="0" fontId="151" fillId="0" borderId="79" xfId="0" applyFont="1" applyBorder="1" applyAlignment="1">
      <alignment horizontal="right"/>
    </xf>
    <xf numFmtId="0" fontId="151" fillId="32" borderId="10" xfId="0" applyFont="1" applyFill="1" applyBorder="1" applyAlignment="1">
      <alignment horizontal="center"/>
    </xf>
    <xf numFmtId="1" fontId="192" fillId="32" borderId="22" xfId="0" applyNumberFormat="1" applyFont="1" applyFill="1" applyBorder="1" applyAlignment="1">
      <alignment horizontal="right"/>
    </xf>
    <xf numFmtId="1" fontId="7" fillId="32" borderId="41" xfId="0" applyNumberFormat="1" applyFont="1" applyFill="1" applyBorder="1" applyAlignment="1">
      <alignment horizontal="right"/>
    </xf>
    <xf numFmtId="0" fontId="2" fillId="32" borderId="88" xfId="0" applyFont="1" applyFill="1" applyBorder="1" applyAlignment="1">
      <alignment horizontal="center"/>
    </xf>
    <xf numFmtId="0" fontId="2" fillId="32" borderId="48" xfId="0" applyFont="1" applyFill="1" applyBorder="1" applyAlignment="1">
      <alignment horizontal="center"/>
    </xf>
    <xf numFmtId="1" fontId="7" fillId="32" borderId="10" xfId="0" applyNumberFormat="1" applyFont="1" applyFill="1" applyBorder="1" applyAlignment="1">
      <alignment horizontal="right"/>
    </xf>
    <xf numFmtId="1" fontId="193" fillId="32" borderId="22" xfId="0" applyNumberFormat="1" applyFont="1" applyFill="1" applyBorder="1" applyAlignment="1">
      <alignment horizontal="right"/>
    </xf>
    <xf numFmtId="1" fontId="192" fillId="32" borderId="35" xfId="0" applyNumberFormat="1" applyFont="1" applyFill="1" applyBorder="1" applyAlignment="1">
      <alignment horizontal="right"/>
    </xf>
    <xf numFmtId="0" fontId="7" fillId="32" borderId="39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32" borderId="36" xfId="0" applyFont="1" applyFill="1" applyBorder="1" applyAlignment="1">
      <alignment horizontal="center"/>
    </xf>
    <xf numFmtId="0" fontId="7" fillId="32" borderId="3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1" borderId="0" xfId="0" applyFill="1" applyBorder="1" applyAlignment="1">
      <alignment horizontal="center"/>
    </xf>
    <xf numFmtId="0" fontId="42" fillId="41" borderId="0" xfId="0" applyFont="1" applyFill="1" applyBorder="1" applyAlignment="1">
      <alignment horizontal="left" vertical="center" wrapText="1"/>
    </xf>
    <xf numFmtId="0" fontId="0" fillId="32" borderId="49" xfId="0" applyFill="1" applyBorder="1" applyAlignment="1">
      <alignment horizontal="center"/>
    </xf>
    <xf numFmtId="1" fontId="7" fillId="0" borderId="71" xfId="0" applyNumberFormat="1" applyFont="1" applyBorder="1" applyAlignment="1">
      <alignment horizontal="right"/>
    </xf>
    <xf numFmtId="0" fontId="7" fillId="0" borderId="80" xfId="0" applyFont="1" applyBorder="1" applyAlignment="1">
      <alignment horizontal="right"/>
    </xf>
    <xf numFmtId="17" fontId="0" fillId="0" borderId="0" xfId="0" applyNumberFormat="1" applyBorder="1" applyAlignment="1">
      <alignment horizontal="center"/>
    </xf>
    <xf numFmtId="0" fontId="2" fillId="41" borderId="0" xfId="0" applyFont="1" applyFill="1" applyBorder="1" applyAlignment="1">
      <alignment horizontal="left"/>
    </xf>
    <xf numFmtId="0" fontId="5" fillId="41" borderId="0" xfId="0" applyFont="1" applyFill="1" applyBorder="1" applyAlignment="1">
      <alignment horizontal="left"/>
    </xf>
    <xf numFmtId="0" fontId="16" fillId="41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41" borderId="0" xfId="0" applyFont="1" applyFill="1" applyBorder="1" applyAlignment="1">
      <alignment horizontal="left"/>
    </xf>
    <xf numFmtId="0" fontId="0" fillId="45" borderId="0" xfId="0" applyFill="1" applyBorder="1" applyAlignment="1">
      <alignment horizontal="justify" vertical="center"/>
    </xf>
    <xf numFmtId="0" fontId="145" fillId="43" borderId="0" xfId="0" applyFont="1" applyFill="1" applyBorder="1" applyAlignment="1">
      <alignment horizontal="justify" vertical="center"/>
    </xf>
    <xf numFmtId="1" fontId="7" fillId="32" borderId="22" xfId="0" applyNumberFormat="1" applyFont="1" applyFill="1" applyBorder="1" applyAlignment="1">
      <alignment horizontal="right"/>
    </xf>
    <xf numFmtId="1" fontId="54" fillId="32" borderId="37" xfId="0" applyNumberFormat="1" applyFont="1" applyFill="1" applyBorder="1" applyAlignment="1" quotePrefix="1">
      <alignment horizontal="right"/>
    </xf>
    <xf numFmtId="1" fontId="54" fillId="32" borderId="38" xfId="0" applyNumberFormat="1" applyFont="1" applyFill="1" applyBorder="1" applyAlignment="1" quotePrefix="1">
      <alignment horizontal="right"/>
    </xf>
    <xf numFmtId="1" fontId="54" fillId="32" borderId="10" xfId="0" applyNumberFormat="1" applyFont="1" applyFill="1" applyBorder="1" applyAlignment="1" quotePrefix="1">
      <alignment horizontal="right"/>
    </xf>
    <xf numFmtId="1" fontId="54" fillId="32" borderId="40" xfId="0" applyNumberFormat="1" applyFont="1" applyFill="1" applyBorder="1" applyAlignment="1" quotePrefix="1">
      <alignment horizontal="right"/>
    </xf>
    <xf numFmtId="1" fontId="192" fillId="32" borderId="41" xfId="0" applyNumberFormat="1" applyFont="1" applyFill="1" applyBorder="1" applyAlignment="1">
      <alignment horizontal="right"/>
    </xf>
    <xf numFmtId="1" fontId="54" fillId="32" borderId="41" xfId="0" applyNumberFormat="1" applyFont="1" applyFill="1" applyBorder="1" applyAlignment="1">
      <alignment horizontal="right"/>
    </xf>
    <xf numFmtId="1" fontId="54" fillId="32" borderId="43" xfId="0" applyNumberFormat="1" applyFont="1" applyFill="1" applyBorder="1" applyAlignment="1">
      <alignment horizontal="right"/>
    </xf>
    <xf numFmtId="1" fontId="194" fillId="32" borderId="79" xfId="0" applyNumberFormat="1" applyFont="1" applyFill="1" applyBorder="1" applyAlignment="1">
      <alignment horizontal="right"/>
    </xf>
    <xf numFmtId="1" fontId="194" fillId="32" borderId="77" xfId="0" applyNumberFormat="1" applyFont="1" applyFill="1" applyBorder="1" applyAlignment="1">
      <alignment horizontal="right"/>
    </xf>
    <xf numFmtId="1" fontId="74" fillId="32" borderId="79" xfId="0" applyNumberFormat="1" applyFont="1" applyFill="1" applyBorder="1" applyAlignment="1">
      <alignment horizontal="center"/>
    </xf>
    <xf numFmtId="0" fontId="7" fillId="32" borderId="55" xfId="0" applyFont="1" applyFill="1" applyBorder="1" applyAlignment="1">
      <alignment horizontal="center"/>
    </xf>
    <xf numFmtId="0" fontId="7" fillId="32" borderId="41" xfId="0" applyFont="1" applyFill="1" applyBorder="1" applyAlignment="1">
      <alignment horizontal="center"/>
    </xf>
    <xf numFmtId="0" fontId="2" fillId="32" borderId="76" xfId="0" applyFont="1" applyFill="1" applyBorder="1" applyAlignment="1">
      <alignment horizontal="center"/>
    </xf>
    <xf numFmtId="0" fontId="2" fillId="32" borderId="79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8" fillId="0" borderId="57" xfId="0" applyFont="1" applyBorder="1" applyAlignment="1">
      <alignment horizontal="left" vertical="center"/>
    </xf>
    <xf numFmtId="0" fontId="28" fillId="0" borderId="49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2" fontId="43" fillId="0" borderId="84" xfId="0" applyNumberFormat="1" applyFont="1" applyBorder="1" applyAlignment="1" quotePrefix="1">
      <alignment horizontal="right" vertical="center"/>
    </xf>
    <xf numFmtId="2" fontId="43" fillId="0" borderId="87" xfId="0" applyNumberFormat="1" applyFont="1" applyBorder="1" applyAlignment="1">
      <alignment horizontal="right" vertical="center"/>
    </xf>
    <xf numFmtId="2" fontId="43" fillId="0" borderId="77" xfId="0" applyNumberFormat="1" applyFont="1" applyBorder="1" applyAlignment="1">
      <alignment horizontal="right" vertical="center"/>
    </xf>
    <xf numFmtId="0" fontId="27" fillId="0" borderId="41" xfId="0" applyFont="1" applyBorder="1" applyAlignment="1">
      <alignment horizontal="center" vertical="center"/>
    </xf>
    <xf numFmtId="1" fontId="27" fillId="0" borderId="41" xfId="0" applyNumberFormat="1" applyFont="1" applyBorder="1" applyAlignment="1">
      <alignment horizontal="center" vertical="center"/>
    </xf>
    <xf numFmtId="1" fontId="27" fillId="0" borderId="43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1" fontId="27" fillId="0" borderId="40" xfId="0" applyNumberFormat="1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1" fontId="27" fillId="0" borderId="71" xfId="0" applyNumberFormat="1" applyFont="1" applyBorder="1" applyAlignment="1">
      <alignment horizontal="center" vertical="center"/>
    </xf>
    <xf numFmtId="1" fontId="27" fillId="0" borderId="29" xfId="0" applyNumberFormat="1" applyFont="1" applyBorder="1" applyAlignment="1">
      <alignment horizontal="center" vertical="center"/>
    </xf>
    <xf numFmtId="0" fontId="2" fillId="32" borderId="11" xfId="0" applyFont="1" applyFill="1" applyBorder="1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left" vertical="center"/>
    </xf>
    <xf numFmtId="0" fontId="28" fillId="0" borderId="81" xfId="0" applyFont="1" applyBorder="1" applyAlignment="1">
      <alignment horizontal="left" vertical="center"/>
    </xf>
    <xf numFmtId="0" fontId="35" fillId="0" borderId="44" xfId="0" applyFont="1" applyBorder="1" applyAlignment="1">
      <alignment horizontal="center" wrapText="1"/>
    </xf>
    <xf numFmtId="0" fontId="35" fillId="0" borderId="45" xfId="0" applyFont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0" fontId="35" fillId="0" borderId="13" xfId="0" applyFont="1" applyBorder="1" applyAlignment="1">
      <alignment horizontal="center" wrapText="1"/>
    </xf>
    <xf numFmtId="0" fontId="34" fillId="0" borderId="18" xfId="0" applyFont="1" applyBorder="1" applyAlignment="1">
      <alignment horizontal="center" vertical="top"/>
    </xf>
    <xf numFmtId="0" fontId="34" fillId="0" borderId="19" xfId="0" applyFont="1" applyBorder="1" applyAlignment="1">
      <alignment horizontal="center" vertical="top"/>
    </xf>
    <xf numFmtId="0" fontId="34" fillId="0" borderId="20" xfId="0" applyFont="1" applyBorder="1" applyAlignment="1">
      <alignment horizontal="center" vertical="top"/>
    </xf>
    <xf numFmtId="0" fontId="28" fillId="0" borderId="44" xfId="0" applyFont="1" applyBorder="1" applyAlignment="1">
      <alignment horizontal="justify" vertical="top" wrapText="1"/>
    </xf>
    <xf numFmtId="0" fontId="28" fillId="0" borderId="45" xfId="0" applyFont="1" applyBorder="1" applyAlignment="1">
      <alignment horizontal="justify" vertical="top" wrapText="1"/>
    </xf>
    <xf numFmtId="0" fontId="28" fillId="0" borderId="46" xfId="0" applyFont="1" applyBorder="1" applyAlignment="1">
      <alignment horizontal="justify" vertical="top" wrapText="1"/>
    </xf>
    <xf numFmtId="0" fontId="28" fillId="0" borderId="12" xfId="0" applyFont="1" applyBorder="1" applyAlignment="1">
      <alignment horizontal="justify" vertical="top" wrapText="1"/>
    </xf>
    <xf numFmtId="0" fontId="28" fillId="0" borderId="0" xfId="0" applyFont="1" applyBorder="1" applyAlignment="1">
      <alignment horizontal="justify" vertical="top" wrapText="1"/>
    </xf>
    <xf numFmtId="0" fontId="28" fillId="0" borderId="13" xfId="0" applyFont="1" applyBorder="1" applyAlignment="1">
      <alignment horizontal="justify" vertical="top" wrapText="1"/>
    </xf>
    <xf numFmtId="0" fontId="28" fillId="0" borderId="18" xfId="0" applyFont="1" applyBorder="1" applyAlignment="1">
      <alignment horizontal="justify" vertical="top" wrapText="1"/>
    </xf>
    <xf numFmtId="0" fontId="28" fillId="0" borderId="19" xfId="0" applyFont="1" applyBorder="1" applyAlignment="1">
      <alignment horizontal="justify" vertical="top" wrapText="1"/>
    </xf>
    <xf numFmtId="0" fontId="28" fillId="0" borderId="20" xfId="0" applyFont="1" applyBorder="1" applyAlignment="1">
      <alignment horizontal="justify" vertical="top" wrapText="1"/>
    </xf>
    <xf numFmtId="2" fontId="43" fillId="0" borderId="84" xfId="0" applyNumberFormat="1" applyFont="1" applyBorder="1" applyAlignment="1">
      <alignment horizontal="right" vertical="center"/>
    </xf>
    <xf numFmtId="2" fontId="43" fillId="0" borderId="83" xfId="0" applyNumberFormat="1" applyFont="1" applyBorder="1" applyAlignment="1">
      <alignment horizontal="right" vertical="center"/>
    </xf>
    <xf numFmtId="0" fontId="27" fillId="0" borderId="61" xfId="0" applyFont="1" applyBorder="1" applyAlignment="1">
      <alignment horizontal="center" vertical="center" wrapText="1"/>
    </xf>
    <xf numFmtId="0" fontId="27" fillId="0" borderId="79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7" fillId="0" borderId="36" xfId="0" applyFont="1" applyBorder="1" applyAlignment="1">
      <alignment horizontal="justify" vertical="center"/>
    </xf>
    <xf numFmtId="0" fontId="27" fillId="0" borderId="37" xfId="0" applyFont="1" applyBorder="1" applyAlignment="1">
      <alignment horizontal="justify" vertical="center"/>
    </xf>
    <xf numFmtId="0" fontId="27" fillId="0" borderId="38" xfId="0" applyFont="1" applyBorder="1" applyAlignment="1">
      <alignment horizontal="justify" vertical="center"/>
    </xf>
    <xf numFmtId="0" fontId="27" fillId="0" borderId="39" xfId="0" applyFont="1" applyBorder="1" applyAlignment="1">
      <alignment horizontal="justify" vertical="center"/>
    </xf>
    <xf numFmtId="0" fontId="27" fillId="0" borderId="10" xfId="0" applyFont="1" applyBorder="1" applyAlignment="1">
      <alignment horizontal="justify" vertical="center"/>
    </xf>
    <xf numFmtId="0" fontId="27" fillId="0" borderId="40" xfId="0" applyFont="1" applyBorder="1" applyAlignment="1">
      <alignment horizontal="justify" vertical="center"/>
    </xf>
    <xf numFmtId="0" fontId="27" fillId="0" borderId="55" xfId="0" applyFont="1" applyBorder="1" applyAlignment="1">
      <alignment horizontal="justify" vertical="center"/>
    </xf>
    <xf numFmtId="0" fontId="27" fillId="0" borderId="41" xfId="0" applyFont="1" applyBorder="1" applyAlignment="1">
      <alignment horizontal="justify" vertical="center"/>
    </xf>
    <xf numFmtId="0" fontId="27" fillId="0" borderId="43" xfId="0" applyFont="1" applyBorder="1" applyAlignment="1">
      <alignment horizontal="justify" vertical="center"/>
    </xf>
    <xf numFmtId="0" fontId="15" fillId="0" borderId="42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86" xfId="0" applyFont="1" applyBorder="1" applyAlignment="1">
      <alignment horizontal="left" vertical="center"/>
    </xf>
    <xf numFmtId="0" fontId="28" fillId="0" borderId="23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48" xfId="0" applyFont="1" applyBorder="1" applyAlignment="1">
      <alignment horizontal="left" vertical="center"/>
    </xf>
    <xf numFmtId="0" fontId="28" fillId="0" borderId="75" xfId="0" applyFont="1" applyBorder="1" applyAlignment="1">
      <alignment horizontal="left" vertical="center"/>
    </xf>
    <xf numFmtId="0" fontId="28" fillId="0" borderId="64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31" fillId="0" borderId="26" xfId="0" applyFont="1" applyBorder="1" applyAlignment="1">
      <alignment horizontal="left" vertical="center" wrapText="1"/>
    </xf>
    <xf numFmtId="0" fontId="31" fillId="0" borderId="58" xfId="0" applyFont="1" applyBorder="1" applyAlignment="1">
      <alignment horizontal="left" vertical="center"/>
    </xf>
    <xf numFmtId="0" fontId="31" fillId="0" borderId="27" xfId="0" applyFont="1" applyBorder="1" applyAlignment="1">
      <alignment horizontal="left"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28" fillId="0" borderId="45" xfId="0" applyFont="1" applyBorder="1" applyAlignment="1">
      <alignment horizontal="left" vertical="top"/>
    </xf>
    <xf numFmtId="0" fontId="28" fillId="0" borderId="93" xfId="0" applyFont="1" applyBorder="1" applyAlignment="1">
      <alignment horizontal="left" vertical="top"/>
    </xf>
    <xf numFmtId="0" fontId="28" fillId="0" borderId="62" xfId="0" applyFont="1" applyBorder="1" applyAlignment="1">
      <alignment horizontal="center" vertical="center"/>
    </xf>
    <xf numFmtId="0" fontId="28" fillId="0" borderId="86" xfId="0" applyFont="1" applyBorder="1" applyAlignment="1">
      <alignment horizontal="center" vertical="center"/>
    </xf>
    <xf numFmtId="0" fontId="29" fillId="0" borderId="23" xfId="0" applyFont="1" applyBorder="1" applyAlignment="1">
      <alignment horizontal="left" vertical="top" wrapText="1" shrinkToFit="1"/>
    </xf>
    <xf numFmtId="0" fontId="28" fillId="0" borderId="57" xfId="0" applyFont="1" applyBorder="1" applyAlignment="1">
      <alignment horizontal="left" vertical="top" wrapText="1" shrinkToFit="1"/>
    </xf>
    <xf numFmtId="0" fontId="60" fillId="0" borderId="57" xfId="0" applyFont="1" applyBorder="1" applyAlignment="1">
      <alignment horizontal="center" vertical="center"/>
    </xf>
    <xf numFmtId="0" fontId="60" fillId="0" borderId="63" xfId="0" applyFont="1" applyBorder="1" applyAlignment="1">
      <alignment horizontal="center" vertical="center"/>
    </xf>
    <xf numFmtId="49" fontId="28" fillId="0" borderId="44" xfId="0" applyNumberFormat="1" applyFont="1" applyBorder="1" applyAlignment="1">
      <alignment horizontal="left" vertical="top"/>
    </xf>
    <xf numFmtId="49" fontId="28" fillId="0" borderId="12" xfId="0" applyNumberFormat="1" applyFont="1" applyBorder="1" applyAlignment="1">
      <alignment horizontal="left" vertical="top"/>
    </xf>
    <xf numFmtId="0" fontId="14" fillId="0" borderId="44" xfId="0" applyFont="1" applyBorder="1" applyAlignment="1">
      <alignment horizontal="left" vertical="top"/>
    </xf>
    <xf numFmtId="0" fontId="14" fillId="0" borderId="45" xfId="0" applyFont="1" applyBorder="1" applyAlignment="1">
      <alignment horizontal="left" vertical="top"/>
    </xf>
    <xf numFmtId="0" fontId="14" fillId="0" borderId="46" xfId="0" applyFont="1" applyBorder="1" applyAlignment="1">
      <alignment horizontal="left" vertical="top"/>
    </xf>
    <xf numFmtId="0" fontId="27" fillId="0" borderId="4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left" vertical="top" wrapText="1"/>
    </xf>
    <xf numFmtId="0" fontId="28" fillId="0" borderId="57" xfId="0" applyFont="1" applyBorder="1" applyAlignment="1">
      <alignment horizontal="left" vertical="top" wrapText="1"/>
    </xf>
    <xf numFmtId="0" fontId="28" fillId="0" borderId="23" xfId="0" applyFont="1" applyBorder="1" applyAlignment="1">
      <alignment horizontal="left" vertical="center"/>
    </xf>
    <xf numFmtId="0" fontId="60" fillId="0" borderId="48" xfId="0" applyFont="1" applyBorder="1" applyAlignment="1">
      <alignment horizontal="center" vertical="center"/>
    </xf>
    <xf numFmtId="0" fontId="28" fillId="0" borderId="88" xfId="0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28" fillId="0" borderId="25" xfId="0" applyFont="1" applyBorder="1" applyAlignment="1">
      <alignment horizontal="left" vertical="center"/>
    </xf>
    <xf numFmtId="0" fontId="28" fillId="0" borderId="63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top"/>
    </xf>
    <xf numFmtId="0" fontId="28" fillId="0" borderId="63" xfId="0" applyFont="1" applyBorder="1" applyAlignment="1">
      <alignment horizontal="left" vertical="top"/>
    </xf>
    <xf numFmtId="0" fontId="28" fillId="0" borderId="89" xfId="0" applyFont="1" applyBorder="1" applyAlignment="1">
      <alignment horizontal="left" vertical="top"/>
    </xf>
    <xf numFmtId="0" fontId="6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top"/>
    </xf>
    <xf numFmtId="0" fontId="28" fillId="0" borderId="86" xfId="0" applyFont="1" applyBorder="1" applyAlignment="1">
      <alignment horizontal="left" vertical="top"/>
    </xf>
    <xf numFmtId="49" fontId="27" fillId="0" borderId="41" xfId="0" applyNumberFormat="1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49" fontId="28" fillId="0" borderId="66" xfId="0" applyNumberFormat="1" applyFont="1" applyBorder="1" applyAlignment="1">
      <alignment horizontal="left" vertical="top"/>
    </xf>
    <xf numFmtId="49" fontId="28" fillId="0" borderId="11" xfId="0" applyNumberFormat="1" applyFont="1" applyBorder="1" applyAlignment="1">
      <alignment horizontal="left" vertical="top"/>
    </xf>
    <xf numFmtId="0" fontId="28" fillId="0" borderId="37" xfId="0" applyFont="1" applyBorder="1" applyAlignment="1">
      <alignment horizontal="left" vertical="top"/>
    </xf>
    <xf numFmtId="0" fontId="28" fillId="0" borderId="71" xfId="0" applyFont="1" applyBorder="1" applyAlignment="1">
      <alignment horizontal="left" vertical="top"/>
    </xf>
    <xf numFmtId="0" fontId="28" fillId="0" borderId="37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7" fillId="0" borderId="4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" fontId="39" fillId="0" borderId="10" xfId="0" applyNumberFormat="1" applyFont="1" applyBorder="1" applyAlignment="1">
      <alignment horizontal="center" vertical="center"/>
    </xf>
    <xf numFmtId="1" fontId="39" fillId="0" borderId="40" xfId="0" applyNumberFormat="1" applyFont="1" applyBorder="1" applyAlignment="1">
      <alignment horizontal="center" vertical="center"/>
    </xf>
    <xf numFmtId="49" fontId="27" fillId="0" borderId="39" xfId="0" applyNumberFormat="1" applyFont="1" applyBorder="1" applyAlignment="1">
      <alignment horizontal="center" vertical="center"/>
    </xf>
    <xf numFmtId="0" fontId="29" fillId="0" borderId="35" xfId="0" applyFont="1" applyBorder="1" applyAlignment="1">
      <alignment horizontal="left" vertical="top" wrapText="1"/>
    </xf>
    <xf numFmtId="0" fontId="28" fillId="0" borderId="35" xfId="0" applyFont="1" applyBorder="1" applyAlignment="1">
      <alignment horizontal="left" vertical="top" wrapText="1"/>
    </xf>
    <xf numFmtId="49" fontId="27" fillId="0" borderId="55" xfId="0" applyNumberFormat="1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1" fontId="39" fillId="0" borderId="71" xfId="0" applyNumberFormat="1" applyFont="1" applyBorder="1" applyAlignment="1">
      <alignment horizontal="center" vertical="center"/>
    </xf>
    <xf numFmtId="1" fontId="39" fillId="0" borderId="29" xfId="0" applyNumberFormat="1" applyFont="1" applyBorder="1" applyAlignment="1">
      <alignment horizontal="center" vertical="center"/>
    </xf>
    <xf numFmtId="49" fontId="27" fillId="0" borderId="36" xfId="0" applyNumberFormat="1" applyFont="1" applyBorder="1" applyAlignment="1">
      <alignment horizontal="center" vertical="center"/>
    </xf>
    <xf numFmtId="49" fontId="27" fillId="0" borderId="37" xfId="0" applyNumberFormat="1" applyFont="1" applyBorder="1" applyAlignment="1">
      <alignment horizontal="center" vertical="center"/>
    </xf>
    <xf numFmtId="49" fontId="27" fillId="0" borderId="38" xfId="0" applyNumberFormat="1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1" fontId="37" fillId="0" borderId="22" xfId="0" applyNumberFormat="1" applyFont="1" applyBorder="1" applyAlignment="1">
      <alignment horizontal="center" vertical="center"/>
    </xf>
    <xf numFmtId="1" fontId="37" fillId="0" borderId="42" xfId="0" applyNumberFormat="1" applyFont="1" applyBorder="1" applyAlignment="1">
      <alignment horizontal="center" vertical="center"/>
    </xf>
    <xf numFmtId="0" fontId="60" fillId="0" borderId="62" xfId="0" applyFont="1" applyBorder="1" applyAlignment="1">
      <alignment horizontal="center" vertical="center"/>
    </xf>
    <xf numFmtId="0" fontId="60" fillId="0" borderId="86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/>
    </xf>
    <xf numFmtId="0" fontId="61" fillId="0" borderId="71" xfId="0" applyFont="1" applyBorder="1" applyAlignment="1">
      <alignment horizontal="left" vertical="center"/>
    </xf>
    <xf numFmtId="0" fontId="62" fillId="0" borderId="52" xfId="0" applyFont="1" applyBorder="1" applyAlignment="1">
      <alignment horizontal="left" vertical="center"/>
    </xf>
    <xf numFmtId="0" fontId="62" fillId="0" borderId="29" xfId="0" applyFont="1" applyBorder="1" applyAlignment="1">
      <alignment horizontal="left" vertical="center"/>
    </xf>
    <xf numFmtId="0" fontId="38" fillId="0" borderId="66" xfId="0" applyFont="1" applyBorder="1" applyAlignment="1">
      <alignment horizontal="left" vertical="center"/>
    </xf>
    <xf numFmtId="0" fontId="38" fillId="0" borderId="52" xfId="0" applyFont="1" applyBorder="1" applyAlignment="1">
      <alignment horizontal="left" vertical="center"/>
    </xf>
    <xf numFmtId="0" fontId="38" fillId="0" borderId="80" xfId="0" applyFont="1" applyBorder="1" applyAlignment="1">
      <alignment horizontal="left" vertical="center"/>
    </xf>
    <xf numFmtId="0" fontId="21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15" fillId="0" borderId="51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2" fontId="43" fillId="32" borderId="25" xfId="0" applyNumberFormat="1" applyFont="1" applyFill="1" applyBorder="1" applyAlignment="1">
      <alignment horizontal="right" vertical="center"/>
    </xf>
    <xf numFmtId="2" fontId="43" fillId="32" borderId="89" xfId="0" applyNumberFormat="1" applyFont="1" applyFill="1" applyBorder="1" applyAlignment="1">
      <alignment horizontal="right" vertical="center"/>
    </xf>
    <xf numFmtId="0" fontId="25" fillId="32" borderId="24" xfId="0" applyFont="1" applyFill="1" applyBorder="1" applyAlignment="1" quotePrefix="1">
      <alignment horizontal="center" vertical="center"/>
    </xf>
    <xf numFmtId="0" fontId="25" fillId="32" borderId="84" xfId="0" applyFont="1" applyFill="1" applyBorder="1" applyAlignment="1" quotePrefix="1">
      <alignment horizontal="center" vertical="center"/>
    </xf>
    <xf numFmtId="2" fontId="43" fillId="32" borderId="51" xfId="0" applyNumberFormat="1" applyFont="1" applyFill="1" applyBorder="1" applyAlignment="1">
      <alignment horizontal="right" vertical="center"/>
    </xf>
    <xf numFmtId="2" fontId="43" fillId="32" borderId="85" xfId="0" applyNumberFormat="1" applyFont="1" applyFill="1" applyBorder="1" applyAlignment="1">
      <alignment horizontal="right" vertical="center"/>
    </xf>
    <xf numFmtId="0" fontId="25" fillId="32" borderId="22" xfId="0" applyFont="1" applyFill="1" applyBorder="1" applyAlignment="1" quotePrefix="1">
      <alignment horizontal="center" vertical="center"/>
    </xf>
    <xf numFmtId="0" fontId="25" fillId="32" borderId="42" xfId="0" applyFont="1" applyFill="1" applyBorder="1" applyAlignment="1" quotePrefix="1">
      <alignment horizontal="center" vertical="center"/>
    </xf>
    <xf numFmtId="2" fontId="43" fillId="32" borderId="23" xfId="0" applyNumberFormat="1" applyFont="1" applyFill="1" applyBorder="1" applyAlignment="1">
      <alignment horizontal="right" vertical="center"/>
    </xf>
    <xf numFmtId="2" fontId="43" fillId="32" borderId="49" xfId="0" applyNumberFormat="1" applyFont="1" applyFill="1" applyBorder="1" applyAlignment="1">
      <alignment horizontal="right" vertical="center"/>
    </xf>
    <xf numFmtId="0" fontId="25" fillId="32" borderId="10" xfId="0" applyFont="1" applyFill="1" applyBorder="1" applyAlignment="1" quotePrefix="1">
      <alignment horizontal="center" vertical="center"/>
    </xf>
    <xf numFmtId="0" fontId="25" fillId="32" borderId="40" xfId="0" applyFont="1" applyFill="1" applyBorder="1" applyAlignment="1" quotePrefix="1">
      <alignment horizontal="center" vertical="center"/>
    </xf>
    <xf numFmtId="0" fontId="34" fillId="0" borderId="58" xfId="0" applyFont="1" applyBorder="1" applyAlignment="1">
      <alignment horizontal="center" vertical="top"/>
    </xf>
    <xf numFmtId="0" fontId="34" fillId="0" borderId="27" xfId="0" applyFont="1" applyBorder="1" applyAlignment="1">
      <alignment horizontal="center" vertical="top"/>
    </xf>
    <xf numFmtId="0" fontId="27" fillId="0" borderId="51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2" fontId="43" fillId="32" borderId="88" xfId="0" applyNumberFormat="1" applyFont="1" applyFill="1" applyBorder="1" applyAlignment="1">
      <alignment horizontal="right" vertical="center"/>
    </xf>
    <xf numFmtId="2" fontId="43" fillId="32" borderId="75" xfId="0" applyNumberFormat="1" applyFont="1" applyFill="1" applyBorder="1" applyAlignment="1">
      <alignment horizontal="right" vertical="center"/>
    </xf>
    <xf numFmtId="0" fontId="25" fillId="32" borderId="62" xfId="0" applyFont="1" applyFill="1" applyBorder="1" applyAlignment="1" quotePrefix="1">
      <alignment horizontal="center" vertical="center"/>
    </xf>
    <xf numFmtId="0" fontId="25" fillId="32" borderId="0" xfId="0" applyFont="1" applyFill="1" applyBorder="1" applyAlignment="1" quotePrefix="1">
      <alignment horizontal="center" vertical="center"/>
    </xf>
    <xf numFmtId="0" fontId="25" fillId="32" borderId="13" xfId="0" applyFont="1" applyFill="1" applyBorder="1" applyAlignment="1" quotePrefix="1">
      <alignment horizontal="center" vertical="center"/>
    </xf>
    <xf numFmtId="0" fontId="39" fillId="0" borderId="22" xfId="0" applyFont="1" applyBorder="1" applyAlignment="1">
      <alignment horizontal="center" vertical="center"/>
    </xf>
    <xf numFmtId="1" fontId="39" fillId="0" borderId="51" xfId="0" applyNumberFormat="1" applyFont="1" applyBorder="1" applyAlignment="1">
      <alignment horizontal="center" vertical="center"/>
    </xf>
    <xf numFmtId="1" fontId="39" fillId="0" borderId="27" xfId="0" applyNumberFormat="1" applyFont="1" applyBorder="1" applyAlignment="1">
      <alignment horizontal="center" vertical="center"/>
    </xf>
    <xf numFmtId="182" fontId="27" fillId="0" borderId="21" xfId="0" applyNumberFormat="1" applyFont="1" applyBorder="1" applyAlignment="1">
      <alignment horizontal="center" vertical="center"/>
    </xf>
    <xf numFmtId="182" fontId="27" fillId="0" borderId="22" xfId="0" applyNumberFormat="1" applyFont="1" applyBorder="1" applyAlignment="1">
      <alignment horizontal="center" vertical="center"/>
    </xf>
    <xf numFmtId="182" fontId="27" fillId="0" borderId="42" xfId="0" applyNumberFormat="1" applyFont="1" applyBorder="1" applyAlignment="1">
      <alignment horizontal="center" vertical="center"/>
    </xf>
    <xf numFmtId="0" fontId="35" fillId="0" borderId="46" xfId="0" applyFont="1" applyBorder="1" applyAlignment="1">
      <alignment horizontal="center" wrapText="1"/>
    </xf>
    <xf numFmtId="0" fontId="34" fillId="0" borderId="12" xfId="0" applyFont="1" applyBorder="1" applyAlignment="1">
      <alignment horizontal="center" vertical="top"/>
    </xf>
    <xf numFmtId="0" fontId="34" fillId="0" borderId="0" xfId="0" applyFont="1" applyBorder="1" applyAlignment="1">
      <alignment horizontal="center" vertical="top"/>
    </xf>
    <xf numFmtId="0" fontId="34" fillId="0" borderId="13" xfId="0" applyFont="1" applyBorder="1" applyAlignment="1">
      <alignment horizontal="center" vertical="top"/>
    </xf>
    <xf numFmtId="0" fontId="27" fillId="0" borderId="36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182" fontId="27" fillId="0" borderId="36" xfId="0" applyNumberFormat="1" applyFont="1" applyBorder="1" applyAlignment="1">
      <alignment horizontal="center" vertical="center"/>
    </xf>
    <xf numFmtId="182" fontId="27" fillId="0" borderId="37" xfId="0" applyNumberFormat="1" applyFont="1" applyBorder="1" applyAlignment="1">
      <alignment horizontal="center" vertical="center"/>
    </xf>
    <xf numFmtId="182" fontId="27" fillId="0" borderId="38" xfId="0" applyNumberFormat="1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 wrapText="1"/>
    </xf>
    <xf numFmtId="0" fontId="27" fillId="0" borderId="89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justify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IT%20%20FORM-16\FORM-16%20PARTIAL%20FORM%20TANGED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ew%20Folder%20(2)\Currenr%20Files\RAGAV-2-date-15-10-2009\VIVEK-1-03-2011\GPF-PRG\NUMBER\6_num2tex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ew%20Folder%20(2)\Currenr%20Files\RAGAV-2-date-15-10-2009\VIVEK-1-03-2011\GPF-PRG\NUMBER\6_num2tex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UMBER\6_num2tex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-STATEMENT-2014-2015"/>
      <sheetName val="FORM 16 -2014-2015"/>
    </sheetNames>
    <sheetDataSet>
      <sheetData sheetId="0">
        <row r="56">
          <cell r="U56">
            <v>53976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NUM2TEX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NUM2TEXT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num2tex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75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32.8515625" style="1379" customWidth="1"/>
    <col min="2" max="2" width="31.140625" style="1343" customWidth="1"/>
    <col min="3" max="3" width="11.57421875" style="977" hidden="1" customWidth="1"/>
    <col min="4" max="4" width="9.140625" style="977" hidden="1" customWidth="1"/>
    <col min="5" max="5" width="12.140625" style="977" hidden="1" customWidth="1"/>
    <col min="6" max="6" width="5.57421875" style="1202" customWidth="1"/>
    <col min="7" max="7" width="8.140625" style="1202" customWidth="1"/>
    <col min="8" max="8" width="9.8515625" style="1202" customWidth="1"/>
    <col min="9" max="9" width="5.140625" style="1202" customWidth="1"/>
    <col min="10" max="10" width="9.57421875" style="1202" customWidth="1"/>
    <col min="11" max="11" width="7.8515625" style="1202" customWidth="1"/>
    <col min="12" max="12" width="6.421875" style="1202" customWidth="1"/>
    <col min="13" max="13" width="3.00390625" style="1202" customWidth="1"/>
    <col min="14" max="14" width="9.7109375" style="1202" customWidth="1"/>
    <col min="15" max="15" width="6.7109375" style="1202" customWidth="1"/>
    <col min="16" max="16" width="6.140625" style="1202" customWidth="1"/>
    <col min="17" max="17" width="5.8515625" style="1202" customWidth="1"/>
    <col min="18" max="18" width="7.140625" style="1202" customWidth="1"/>
    <col min="19" max="19" width="8.8515625" style="1202" customWidth="1"/>
    <col min="20" max="20" width="7.8515625" style="1202" customWidth="1"/>
    <col min="21" max="21" width="9.28125" style="1202" customWidth="1"/>
    <col min="22" max="22" width="7.421875" style="1202" customWidth="1"/>
    <col min="23" max="23" width="13.00390625" style="977" customWidth="1"/>
    <col min="24" max="24" width="10.57421875" style="977" hidden="1" customWidth="1"/>
    <col min="25" max="25" width="10.8515625" style="977" hidden="1" customWidth="1"/>
    <col min="26" max="26" width="9.57421875" style="977" hidden="1" customWidth="1"/>
    <col min="27" max="27" width="9.140625" style="977" hidden="1" customWidth="1"/>
    <col min="28" max="28" width="9.57421875" style="977" hidden="1" customWidth="1"/>
    <col min="29" max="32" width="9.140625" style="977" hidden="1" customWidth="1"/>
    <col min="33" max="38" width="9.57421875" style="977" hidden="1" customWidth="1"/>
    <col min="39" max="39" width="12.28125" style="977" hidden="1" customWidth="1"/>
    <col min="40" max="40" width="9.57421875" style="977" hidden="1" customWidth="1"/>
    <col min="41" max="41" width="9.140625" style="977" hidden="1" customWidth="1"/>
    <col min="42" max="42" width="10.8515625" style="977" hidden="1" customWidth="1"/>
    <col min="43" max="49" width="9.140625" style="977" hidden="1" customWidth="1"/>
    <col min="50" max="50" width="11.28125" style="977" hidden="1" customWidth="1"/>
    <col min="51" max="98" width="9.140625" style="977" hidden="1" customWidth="1"/>
    <col min="99" max="100" width="0" style="977" hidden="1" customWidth="1"/>
    <col min="101" max="16384" width="9.140625" style="977" customWidth="1"/>
  </cols>
  <sheetData>
    <row r="1" spans="1:28" ht="23.25">
      <c r="A1" s="1366" t="s">
        <v>0</v>
      </c>
      <c r="B1" s="1355" t="s">
        <v>435</v>
      </c>
      <c r="E1" s="978"/>
      <c r="F1" s="1466" t="s">
        <v>432</v>
      </c>
      <c r="G1" s="1466"/>
      <c r="H1" s="1466"/>
      <c r="I1" s="1466"/>
      <c r="J1" s="1466"/>
      <c r="K1" s="1466"/>
      <c r="L1" s="1466"/>
      <c r="M1" s="1466"/>
      <c r="N1" s="1466"/>
      <c r="O1" s="1466"/>
      <c r="P1" s="1466"/>
      <c r="Q1" s="1466"/>
      <c r="R1" s="1466"/>
      <c r="S1" s="1466"/>
      <c r="T1" s="1466"/>
      <c r="U1" s="1466"/>
      <c r="V1" s="1466"/>
      <c r="AB1" s="979"/>
    </row>
    <row r="2" spans="1:86" s="981" customFormat="1" ht="18.75" customHeight="1">
      <c r="A2" s="1367" t="s">
        <v>7</v>
      </c>
      <c r="B2" s="1356" t="s">
        <v>436</v>
      </c>
      <c r="F2" s="1467" t="s">
        <v>442</v>
      </c>
      <c r="G2" s="1467"/>
      <c r="H2" s="1467"/>
      <c r="I2" s="1467"/>
      <c r="J2" s="1467"/>
      <c r="K2" s="1467"/>
      <c r="L2" s="1467"/>
      <c r="M2" s="1467"/>
      <c r="N2" s="1467"/>
      <c r="O2" s="1467"/>
      <c r="P2" s="1467"/>
      <c r="Q2" s="1467"/>
      <c r="R2" s="1467"/>
      <c r="S2" s="1467"/>
      <c r="T2" s="1467"/>
      <c r="U2" s="1467"/>
      <c r="V2" s="1467"/>
      <c r="AB2" s="982"/>
      <c r="BA2" s="977"/>
      <c r="BB2" s="977"/>
      <c r="BC2" s="977"/>
      <c r="BD2" s="977"/>
      <c r="BE2" s="977"/>
      <c r="BF2" s="977"/>
      <c r="BY2" s="977"/>
      <c r="BZ2" s="977"/>
      <c r="CA2" s="977"/>
      <c r="CB2" s="977"/>
      <c r="CC2" s="977"/>
      <c r="CD2" s="977"/>
      <c r="CE2" s="977"/>
      <c r="CF2" s="977"/>
      <c r="CG2" s="977"/>
      <c r="CH2" s="977"/>
    </row>
    <row r="3" spans="1:28" ht="16.5" thickBot="1">
      <c r="A3" s="1366" t="s">
        <v>1</v>
      </c>
      <c r="B3" s="1357" t="s">
        <v>437</v>
      </c>
      <c r="G3" s="1204" t="s">
        <v>9</v>
      </c>
      <c r="H3" s="1204" t="str">
        <f>+B1</f>
        <v>S.BALAJI</v>
      </c>
      <c r="I3" s="1204"/>
      <c r="J3" s="1204"/>
      <c r="K3" s="1204"/>
      <c r="L3" s="1204"/>
      <c r="M3" s="1205"/>
      <c r="N3" s="1205"/>
      <c r="P3" s="1468" t="s">
        <v>52</v>
      </c>
      <c r="Q3" s="1468"/>
      <c r="R3" s="1468"/>
      <c r="S3" s="1468"/>
      <c r="T3" s="1468"/>
      <c r="U3" s="1468"/>
      <c r="AB3" s="979"/>
    </row>
    <row r="4" spans="1:28" ht="18.75" thickBot="1">
      <c r="A4" s="1368" t="s">
        <v>388</v>
      </c>
      <c r="B4" s="1358">
        <v>4</v>
      </c>
      <c r="G4" s="1204" t="s">
        <v>10</v>
      </c>
      <c r="H4" s="1204" t="str">
        <f>+B2</f>
        <v>JE-II</v>
      </c>
      <c r="I4" s="1204"/>
      <c r="J4" s="1204"/>
      <c r="K4" s="1204"/>
      <c r="L4" s="1204"/>
      <c r="M4" s="1205"/>
      <c r="N4" s="1205"/>
      <c r="P4" s="1469" t="s">
        <v>438</v>
      </c>
      <c r="Q4" s="1470"/>
      <c r="R4" s="1470"/>
      <c r="S4" s="1470"/>
      <c r="T4" s="1470"/>
      <c r="U4" s="1471"/>
      <c r="AB4" s="979"/>
    </row>
    <row r="5" spans="1:61" ht="16.5" thickBot="1">
      <c r="A5" s="1369" t="s">
        <v>439</v>
      </c>
      <c r="B5" s="1359">
        <v>25000</v>
      </c>
      <c r="D5" s="984"/>
      <c r="G5" s="1204" t="s">
        <v>11</v>
      </c>
      <c r="H5" s="1204" t="str">
        <f>+B3</f>
        <v>110KV NANDANAM SS</v>
      </c>
      <c r="I5" s="1204"/>
      <c r="J5" s="1204"/>
      <c r="K5" s="1204"/>
      <c r="L5" s="1204"/>
      <c r="M5" s="1205"/>
      <c r="N5" s="1205"/>
      <c r="AA5" s="985"/>
      <c r="AB5" s="986"/>
      <c r="AC5" s="987"/>
      <c r="AD5" s="987"/>
      <c r="AE5" s="987"/>
      <c r="AF5" s="987"/>
      <c r="AG5" s="987"/>
      <c r="AH5" s="987"/>
      <c r="AI5" s="987"/>
      <c r="AJ5" s="987"/>
      <c r="AK5" s="987"/>
      <c r="AL5" s="987"/>
      <c r="AM5" s="987"/>
      <c r="AN5" s="987"/>
      <c r="AO5" s="987"/>
      <c r="AP5" s="987"/>
      <c r="AQ5" s="987"/>
      <c r="AR5" s="987"/>
      <c r="AS5" s="987"/>
      <c r="AT5" s="987"/>
      <c r="AU5" s="987"/>
      <c r="AV5" s="987"/>
      <c r="AW5" s="987"/>
      <c r="AX5" s="987"/>
      <c r="AY5" s="987"/>
      <c r="AZ5" s="987"/>
      <c r="BA5" s="987"/>
      <c r="BB5" s="987"/>
      <c r="BC5" s="987"/>
      <c r="BD5" s="987"/>
      <c r="BE5" s="987"/>
      <c r="BF5" s="987"/>
      <c r="BG5" s="987"/>
      <c r="BH5" s="987"/>
      <c r="BI5" s="988"/>
    </row>
    <row r="6" spans="1:96" ht="19.5" customHeight="1">
      <c r="A6" s="1366" t="s">
        <v>381</v>
      </c>
      <c r="B6" s="1358"/>
      <c r="C6" s="1353">
        <v>1</v>
      </c>
      <c r="D6" s="989">
        <f>VLOOKUP(+B4,BY7:BZ23,2)</f>
        <v>21100</v>
      </c>
      <c r="E6" s="990">
        <f>IF($A$28=D6,D6,IF($A$28&lt;D6,D6,0))</f>
        <v>0</v>
      </c>
      <c r="F6" s="1472" t="s">
        <v>51</v>
      </c>
      <c r="G6" s="1474" t="s">
        <v>13</v>
      </c>
      <c r="H6" s="1474" t="s">
        <v>14</v>
      </c>
      <c r="I6" s="1476" t="s">
        <v>381</v>
      </c>
      <c r="J6" s="1474" t="s">
        <v>15</v>
      </c>
      <c r="K6" s="1474" t="s">
        <v>16</v>
      </c>
      <c r="L6" s="1474" t="s">
        <v>17</v>
      </c>
      <c r="M6" s="1474"/>
      <c r="N6" s="1474" t="s">
        <v>18</v>
      </c>
      <c r="O6" s="1206" t="s">
        <v>19</v>
      </c>
      <c r="P6" s="1206" t="s">
        <v>20</v>
      </c>
      <c r="Q6" s="1474" t="s">
        <v>21</v>
      </c>
      <c r="R6" s="1474" t="s">
        <v>5</v>
      </c>
      <c r="S6" s="1474" t="s">
        <v>22</v>
      </c>
      <c r="T6" s="1474" t="s">
        <v>23</v>
      </c>
      <c r="U6" s="1206" t="s">
        <v>24</v>
      </c>
      <c r="V6" s="1207" t="s">
        <v>53</v>
      </c>
      <c r="W6" s="991"/>
      <c r="AA6" s="992"/>
      <c r="AB6" s="993"/>
      <c r="AC6" s="993"/>
      <c r="AD6" s="993" t="s">
        <v>65</v>
      </c>
      <c r="AE6" s="993"/>
      <c r="AF6" s="994"/>
      <c r="AG6" s="979"/>
      <c r="AH6" s="979"/>
      <c r="AI6" s="995">
        <f aca="true" t="shared" si="0" ref="AI6:AI11">+N13</f>
        <v>33286</v>
      </c>
      <c r="AJ6" s="987"/>
      <c r="AK6" s="996" t="s">
        <v>4</v>
      </c>
      <c r="AL6" s="997">
        <f>+N8</f>
        <v>32350</v>
      </c>
      <c r="AM6" s="997">
        <f>+AL9</f>
        <v>197844</v>
      </c>
      <c r="AN6" s="988">
        <f>IF(AM6&lt;21000,0,IF(AM6&lt;30000,135,IF(AM6&lt;45000,315,IF(AM6&lt;60000,690,IF(AM6&lt;75000,1025,1250)))))</f>
        <v>1250</v>
      </c>
      <c r="AO6" s="998" t="s">
        <v>6</v>
      </c>
      <c r="AP6" s="999" t="s">
        <v>6</v>
      </c>
      <c r="AQ6" s="999">
        <v>250000</v>
      </c>
      <c r="AR6" s="987"/>
      <c r="AS6" s="1000">
        <f>+AX21</f>
        <v>69250</v>
      </c>
      <c r="AT6" s="1001"/>
      <c r="AU6" s="1002"/>
      <c r="AV6" s="987"/>
      <c r="AW6" s="987" t="s">
        <v>42</v>
      </c>
      <c r="AX6" s="999" t="s">
        <v>238</v>
      </c>
      <c r="AY6" s="987"/>
      <c r="AZ6" s="987"/>
      <c r="BA6" s="987"/>
      <c r="BB6" s="1003">
        <v>0</v>
      </c>
      <c r="BC6" s="1003">
        <v>1300</v>
      </c>
      <c r="BE6" s="1004">
        <v>0</v>
      </c>
      <c r="BF6" s="1004">
        <v>0</v>
      </c>
      <c r="BG6" s="987"/>
      <c r="BH6" s="1005">
        <f>IF(U47&gt;500001,U47-T48,IF(U47&lt;1000000,U47-T48,0))</f>
        <v>0</v>
      </c>
      <c r="BI6" s="988"/>
      <c r="BR6" s="1003">
        <v>0</v>
      </c>
      <c r="BS6" s="1003">
        <v>1300</v>
      </c>
      <c r="BU6" s="1004">
        <v>0</v>
      </c>
      <c r="BV6" s="1004">
        <v>0</v>
      </c>
      <c r="BY6" s="1479" t="s">
        <v>387</v>
      </c>
      <c r="BZ6" s="1480"/>
      <c r="CA6" s="1480"/>
      <c r="CB6" s="1480"/>
      <c r="CC6" s="1480"/>
      <c r="CD6" s="1481"/>
      <c r="CG6" s="1482" t="s">
        <v>71</v>
      </c>
      <c r="CH6" s="1483"/>
      <c r="CP6" s="977">
        <f>+D6</f>
        <v>21100</v>
      </c>
      <c r="CQ6" s="977">
        <f>ROUND(+CP6*3/100,0)</f>
        <v>633</v>
      </c>
      <c r="CR6" s="1006">
        <f>FLOOR(+CQ6+50,100)</f>
        <v>600</v>
      </c>
    </row>
    <row r="7" spans="1:96" ht="17.25" customHeight="1" thickBot="1">
      <c r="A7" s="1366" t="s">
        <v>12</v>
      </c>
      <c r="B7" s="1360">
        <f>+A27</f>
        <v>800</v>
      </c>
      <c r="C7" s="1354">
        <f>+C6+1</f>
        <v>2</v>
      </c>
      <c r="D7" s="1008">
        <f>+CP7</f>
        <v>21700</v>
      </c>
      <c r="E7" s="1009">
        <f>IF(A$28=D7,D7,IF(AND(A$28&gt;D6,A$28&lt;D7),D7,0))</f>
        <v>0</v>
      </c>
      <c r="F7" s="1473"/>
      <c r="G7" s="1475"/>
      <c r="H7" s="1475"/>
      <c r="I7" s="1477"/>
      <c r="J7" s="1475"/>
      <c r="K7" s="1475"/>
      <c r="L7" s="1475"/>
      <c r="M7" s="1475"/>
      <c r="N7" s="1475"/>
      <c r="O7" s="1208" t="s">
        <v>26</v>
      </c>
      <c r="P7" s="1208" t="s">
        <v>27</v>
      </c>
      <c r="Q7" s="1478"/>
      <c r="R7" s="1478"/>
      <c r="S7" s="1478"/>
      <c r="T7" s="1478"/>
      <c r="U7" s="1208" t="s">
        <v>28</v>
      </c>
      <c r="V7" s="1209">
        <f>+N54</f>
        <v>-9398</v>
      </c>
      <c r="W7" s="991"/>
      <c r="AA7" s="1010"/>
      <c r="AB7" s="1011"/>
      <c r="AC7" s="1011"/>
      <c r="AD7" s="1012">
        <v>0.12</v>
      </c>
      <c r="AE7" s="1012">
        <v>0.09</v>
      </c>
      <c r="AF7" s="1013" t="s">
        <v>66</v>
      </c>
      <c r="AG7" s="979"/>
      <c r="AH7" s="979"/>
      <c r="AI7" s="1014">
        <f t="shared" si="0"/>
        <v>33286</v>
      </c>
      <c r="AJ7" s="979"/>
      <c r="AK7" s="1015"/>
      <c r="AL7" s="1016">
        <f>+AL6</f>
        <v>32350</v>
      </c>
      <c r="AM7" s="1015"/>
      <c r="AN7" s="1017"/>
      <c r="AO7" s="979"/>
      <c r="AP7" s="1018" t="s">
        <v>8</v>
      </c>
      <c r="AQ7" s="1018">
        <f>+AQ6</f>
        <v>250000</v>
      </c>
      <c r="AR7" s="979"/>
      <c r="AS7" s="1019">
        <f>+AW22</f>
        <v>69250</v>
      </c>
      <c r="AT7" s="1020">
        <f>+AS6-AS7</f>
        <v>0</v>
      </c>
      <c r="AU7" s="1021"/>
      <c r="AV7" s="979"/>
      <c r="AW7" s="979" t="s">
        <v>8</v>
      </c>
      <c r="AX7" s="1022" t="s">
        <v>238</v>
      </c>
      <c r="AY7" s="979"/>
      <c r="AZ7" s="979"/>
      <c r="BA7" s="979"/>
      <c r="BB7" s="1003">
        <v>13601</v>
      </c>
      <c r="BC7" s="1003">
        <v>1500</v>
      </c>
      <c r="BE7" s="1004">
        <v>20600</v>
      </c>
      <c r="BF7" s="1004">
        <v>360</v>
      </c>
      <c r="BG7" s="979"/>
      <c r="BH7" s="1023">
        <f>IF(BH6&gt;500001,500000,IF(BH6&lt;500000,BH6,0))</f>
        <v>0</v>
      </c>
      <c r="BI7" s="1024"/>
      <c r="BR7" s="1003">
        <v>13601</v>
      </c>
      <c r="BS7" s="1003">
        <v>1500</v>
      </c>
      <c r="BU7" s="1004">
        <v>20600</v>
      </c>
      <c r="BV7" s="1004">
        <v>360</v>
      </c>
      <c r="BY7" s="1025">
        <v>0</v>
      </c>
      <c r="BZ7" s="1025">
        <v>0</v>
      </c>
      <c r="CA7" s="1025"/>
      <c r="CB7" s="1025"/>
      <c r="CC7" s="1025">
        <f>+BY7</f>
        <v>0</v>
      </c>
      <c r="CD7" s="1025">
        <v>0</v>
      </c>
      <c r="CG7" s="980">
        <f>+CC7</f>
        <v>0</v>
      </c>
      <c r="CH7" s="976">
        <v>0</v>
      </c>
      <c r="CP7" s="1026">
        <f>+CP6+CR6</f>
        <v>21700</v>
      </c>
      <c r="CQ7" s="977">
        <f aca="true" t="shared" si="1" ref="CQ7:CQ45">ROUND(+CP7*3/100,0)</f>
        <v>651</v>
      </c>
      <c r="CR7" s="1006">
        <f aca="true" t="shared" si="2" ref="CR7:CR45">FLOOR(+CQ7+50,100)</f>
        <v>700</v>
      </c>
    </row>
    <row r="8" spans="1:96" ht="18.75" thickBot="1">
      <c r="A8" s="1366" t="s">
        <v>25</v>
      </c>
      <c r="B8" s="1359">
        <v>4</v>
      </c>
      <c r="C8" s="1354">
        <f aca="true" t="shared" si="3" ref="C8:C45">+C7+1</f>
        <v>3</v>
      </c>
      <c r="D8" s="1008">
        <f aca="true" t="shared" si="4" ref="D8:D45">+CP8</f>
        <v>22400</v>
      </c>
      <c r="E8" s="1009">
        <f aca="true" t="shared" si="5" ref="E8:E45">IF(A$28=D8,D8,IF(AND(A$28&gt;D7,A$28&lt;D8),D8,0))</f>
        <v>0</v>
      </c>
      <c r="F8" s="1210">
        <v>0.17</v>
      </c>
      <c r="G8" s="1211">
        <f>DATE(2021,3,1)</f>
        <v>44256</v>
      </c>
      <c r="H8" s="1212">
        <f>+B5</f>
        <v>25000</v>
      </c>
      <c r="I8" s="1213"/>
      <c r="J8" s="1214">
        <f>ROUND((+H8+I8)*F8,0)</f>
        <v>4250</v>
      </c>
      <c r="K8" s="1213">
        <f>BO8</f>
        <v>2600</v>
      </c>
      <c r="L8" s="1213">
        <f>BP8</f>
        <v>500</v>
      </c>
      <c r="M8" s="1213"/>
      <c r="N8" s="1215">
        <f aca="true" t="shared" si="6" ref="N8:N19">SUM(H8:M8)</f>
        <v>32350</v>
      </c>
      <c r="O8" s="1215">
        <v>0</v>
      </c>
      <c r="P8" s="1213">
        <v>200</v>
      </c>
      <c r="Q8" s="1213">
        <v>0</v>
      </c>
      <c r="R8" s="1213">
        <v>0</v>
      </c>
      <c r="S8" s="1213">
        <v>0</v>
      </c>
      <c r="T8" s="1213"/>
      <c r="U8" s="1216">
        <v>0</v>
      </c>
      <c r="V8" s="1217">
        <f>+V7-U8</f>
        <v>-9398</v>
      </c>
      <c r="W8" s="1027">
        <v>3</v>
      </c>
      <c r="AA8" s="1028">
        <f>DATE(2021,1,1)</f>
        <v>44197</v>
      </c>
      <c r="AB8" s="1011">
        <f>+H8</f>
        <v>25000</v>
      </c>
      <c r="AC8" s="1011">
        <f>+I8</f>
        <v>0</v>
      </c>
      <c r="AD8" s="1029">
        <f>ROUND((+AB8+AC8)*AD7,0)</f>
        <v>3000</v>
      </c>
      <c r="AE8" s="1029">
        <f>ROUND((+AB8+AC8)*AE7,0)</f>
        <v>2250</v>
      </c>
      <c r="AF8" s="1013">
        <f>+AD8-AE8</f>
        <v>750</v>
      </c>
      <c r="AG8" s="979"/>
      <c r="AH8" s="979"/>
      <c r="AI8" s="1014">
        <f t="shared" si="0"/>
        <v>33286</v>
      </c>
      <c r="AJ8" s="979"/>
      <c r="AK8" s="979"/>
      <c r="AL8" s="1030">
        <f>+N9+N10+N11+N12</f>
        <v>133144</v>
      </c>
      <c r="AM8" s="979"/>
      <c r="AN8" s="1024"/>
      <c r="AO8" s="979"/>
      <c r="AP8" s="979"/>
      <c r="AQ8" s="979"/>
      <c r="AR8" s="979"/>
      <c r="AS8" s="1019"/>
      <c r="AT8" s="1020">
        <f>+AW23</f>
        <v>0</v>
      </c>
      <c r="AU8" s="1021">
        <f>+AT7-AT8</f>
        <v>0</v>
      </c>
      <c r="AV8" s="979"/>
      <c r="AW8" s="979"/>
      <c r="AX8" s="979"/>
      <c r="AY8" s="979"/>
      <c r="AZ8" s="979"/>
      <c r="BA8" s="979"/>
      <c r="BB8" s="1003">
        <v>17201</v>
      </c>
      <c r="BC8" s="1003">
        <v>1800</v>
      </c>
      <c r="BE8" s="1004">
        <v>20601</v>
      </c>
      <c r="BF8" s="1004">
        <v>500</v>
      </c>
      <c r="BG8" s="979"/>
      <c r="BH8" s="979"/>
      <c r="BI8" s="1024"/>
      <c r="BL8" s="977">
        <f>H8</f>
        <v>25000</v>
      </c>
      <c r="BM8" s="977">
        <f>I8</f>
        <v>0</v>
      </c>
      <c r="BN8" s="977">
        <f>BL8+BM8</f>
        <v>25000</v>
      </c>
      <c r="BO8" s="977">
        <f>VLOOKUP(+BN8,BR$6:BS$23,2)</f>
        <v>2600</v>
      </c>
      <c r="BP8" s="977">
        <f>VLOOKUP(+BN8,BU$6:BV$10,2)</f>
        <v>500</v>
      </c>
      <c r="BR8" s="1003">
        <v>17201</v>
      </c>
      <c r="BS8" s="1003">
        <v>1800</v>
      </c>
      <c r="BU8" s="1004">
        <v>20601</v>
      </c>
      <c r="BV8" s="1004">
        <v>500</v>
      </c>
      <c r="BY8" s="1025">
        <f>+BY7+1</f>
        <v>1</v>
      </c>
      <c r="BZ8" s="1025">
        <v>18800</v>
      </c>
      <c r="CA8" s="1025"/>
      <c r="CB8" s="1025"/>
      <c r="CC8" s="1025">
        <f aca="true" t="shared" si="7" ref="CC8:CC22">+BY8</f>
        <v>1</v>
      </c>
      <c r="CD8" s="1025">
        <v>59900</v>
      </c>
      <c r="CG8" s="980">
        <f aca="true" t="shared" si="8" ref="CG8:CG22">+CC8</f>
        <v>1</v>
      </c>
      <c r="CH8" s="976">
        <v>1900</v>
      </c>
      <c r="CP8" s="1026">
        <f aca="true" t="shared" si="9" ref="CP8:CP45">+CP7+CR7</f>
        <v>22400</v>
      </c>
      <c r="CQ8" s="977">
        <f t="shared" si="1"/>
        <v>672</v>
      </c>
      <c r="CR8" s="1006">
        <f t="shared" si="2"/>
        <v>700</v>
      </c>
    </row>
    <row r="9" spans="1:96" ht="18.75" thickBot="1">
      <c r="A9" s="1366" t="s">
        <v>440</v>
      </c>
      <c r="B9" s="1361">
        <f>+B5+B7</f>
        <v>25800</v>
      </c>
      <c r="C9" s="1354">
        <f t="shared" si="3"/>
        <v>4</v>
      </c>
      <c r="D9" s="1008">
        <f t="shared" si="4"/>
        <v>23100</v>
      </c>
      <c r="E9" s="1009">
        <f t="shared" si="5"/>
        <v>0</v>
      </c>
      <c r="F9" s="1218">
        <f>+F8</f>
        <v>0.17</v>
      </c>
      <c r="G9" s="1219">
        <f>DATE(2021,4,1)</f>
        <v>44287</v>
      </c>
      <c r="H9" s="1220">
        <f>IF($B$8&lt;4,$H$8,IF($B$8=4,$H$8+$B$7,IF($B$8&gt;4,$H$8)))</f>
        <v>25800</v>
      </c>
      <c r="I9" s="1199"/>
      <c r="J9" s="1221">
        <f>ROUND((H9+I9)*F9,0)</f>
        <v>4386</v>
      </c>
      <c r="K9" s="1199">
        <f aca="true" t="shared" si="10" ref="K9:L19">BO9</f>
        <v>2600</v>
      </c>
      <c r="L9" s="1199">
        <f t="shared" si="10"/>
        <v>500</v>
      </c>
      <c r="M9" s="1199"/>
      <c r="N9" s="1222">
        <f t="shared" si="6"/>
        <v>33286</v>
      </c>
      <c r="O9" s="1199">
        <f aca="true" t="shared" si="11" ref="O9:S19">+O8</f>
        <v>0</v>
      </c>
      <c r="P9" s="1199">
        <f t="shared" si="11"/>
        <v>200</v>
      </c>
      <c r="Q9" s="1199">
        <f t="shared" si="11"/>
        <v>0</v>
      </c>
      <c r="R9" s="1199">
        <f t="shared" si="11"/>
        <v>0</v>
      </c>
      <c r="S9" s="1199">
        <f t="shared" si="11"/>
        <v>0</v>
      </c>
      <c r="T9" s="1199"/>
      <c r="U9" s="1200">
        <f>+U8</f>
        <v>0</v>
      </c>
      <c r="V9" s="1223">
        <f>+V8-U9</f>
        <v>-9398</v>
      </c>
      <c r="W9" s="1027">
        <f>+W8+1</f>
        <v>4</v>
      </c>
      <c r="AA9" s="1028">
        <f>DATE(2021,2,1)</f>
        <v>44228</v>
      </c>
      <c r="AB9" s="1011">
        <f>+AB8</f>
        <v>25000</v>
      </c>
      <c r="AC9" s="1011">
        <f>+I9</f>
        <v>0</v>
      </c>
      <c r="AD9" s="1029">
        <f>ROUND((+AB9+AC9)*AD7,0)</f>
        <v>3000</v>
      </c>
      <c r="AE9" s="1029">
        <f>ROUND((+AB9+AC9)*AE7,0)</f>
        <v>2250</v>
      </c>
      <c r="AF9" s="1013">
        <f>+AD9-AE9</f>
        <v>750</v>
      </c>
      <c r="AG9" s="979"/>
      <c r="AH9" s="979"/>
      <c r="AI9" s="1014">
        <f t="shared" si="0"/>
        <v>33286</v>
      </c>
      <c r="AJ9" s="979"/>
      <c r="AK9" s="979"/>
      <c r="AL9" s="1032">
        <f>SUM(AL6:AL8)</f>
        <v>197844</v>
      </c>
      <c r="AM9" s="979"/>
      <c r="AN9" s="1017">
        <f>+AN6</f>
        <v>1250</v>
      </c>
      <c r="AO9" s="979"/>
      <c r="AP9" s="979"/>
      <c r="AQ9" s="979"/>
      <c r="AR9" s="979"/>
      <c r="AS9" s="1033"/>
      <c r="AT9" s="1034"/>
      <c r="AU9" s="1035">
        <f>+AS7+AT8+AU8</f>
        <v>69250</v>
      </c>
      <c r="AV9" s="979"/>
      <c r="AW9" s="979" t="s">
        <v>6</v>
      </c>
      <c r="AX9" s="1022" t="s">
        <v>287</v>
      </c>
      <c r="AY9" s="979"/>
      <c r="AZ9" s="979"/>
      <c r="BA9" s="979"/>
      <c r="BB9" s="1003">
        <v>21001</v>
      </c>
      <c r="BC9" s="1003">
        <v>2100</v>
      </c>
      <c r="BE9" s="1004">
        <v>30801</v>
      </c>
      <c r="BF9" s="1004">
        <v>800</v>
      </c>
      <c r="BG9" s="979"/>
      <c r="BH9" s="979"/>
      <c r="BI9" s="1024"/>
      <c r="BL9" s="977">
        <f aca="true" t="shared" si="12" ref="BL9:BM19">H9</f>
        <v>25800</v>
      </c>
      <c r="BM9" s="977">
        <f t="shared" si="12"/>
        <v>0</v>
      </c>
      <c r="BN9" s="977">
        <f aca="true" t="shared" si="13" ref="BN9:BN19">BL9+BM9</f>
        <v>25800</v>
      </c>
      <c r="BO9" s="977">
        <f aca="true" t="shared" si="14" ref="BO9:BO19">VLOOKUP(+BN9,BR$6:BS$23,2)</f>
        <v>2600</v>
      </c>
      <c r="BP9" s="977">
        <f aca="true" t="shared" si="15" ref="BP9:BP19">VLOOKUP(+BN9,BU$6:BV$10,2)</f>
        <v>500</v>
      </c>
      <c r="BR9" s="1003">
        <v>21001</v>
      </c>
      <c r="BS9" s="1003">
        <v>2100</v>
      </c>
      <c r="BU9" s="1004">
        <v>30801</v>
      </c>
      <c r="BV9" s="1004">
        <v>800</v>
      </c>
      <c r="BY9" s="1025">
        <f aca="true" t="shared" si="16" ref="BY9:BY23">+BY8+1</f>
        <v>2</v>
      </c>
      <c r="BZ9" s="1025">
        <v>19500</v>
      </c>
      <c r="CA9" s="1025"/>
      <c r="CB9" s="1025"/>
      <c r="CC9" s="1025">
        <f t="shared" si="7"/>
        <v>2</v>
      </c>
      <c r="CD9" s="1025">
        <v>62000</v>
      </c>
      <c r="CG9" s="980">
        <f t="shared" si="8"/>
        <v>2</v>
      </c>
      <c r="CH9" s="976">
        <v>2200</v>
      </c>
      <c r="CP9" s="1026">
        <f t="shared" si="9"/>
        <v>23100</v>
      </c>
      <c r="CQ9" s="977">
        <f t="shared" si="1"/>
        <v>693</v>
      </c>
      <c r="CR9" s="1006">
        <f t="shared" si="2"/>
        <v>700</v>
      </c>
    </row>
    <row r="10" spans="1:96" ht="18.75" thickBot="1">
      <c r="A10" s="1484" t="s">
        <v>232</v>
      </c>
      <c r="B10" s="1359" t="s">
        <v>233</v>
      </c>
      <c r="C10" s="1354">
        <f t="shared" si="3"/>
        <v>5</v>
      </c>
      <c r="D10" s="1008">
        <f t="shared" si="4"/>
        <v>23800</v>
      </c>
      <c r="E10" s="1009">
        <f t="shared" si="5"/>
        <v>0</v>
      </c>
      <c r="F10" s="1218">
        <f aca="true" t="shared" si="17" ref="F10:F19">+F9</f>
        <v>0.17</v>
      </c>
      <c r="G10" s="1219">
        <f>DATE(2021,5,1)</f>
        <v>44317</v>
      </c>
      <c r="H10" s="1224">
        <f>+H9</f>
        <v>25800</v>
      </c>
      <c r="I10" s="1199"/>
      <c r="J10" s="1221">
        <f aca="true" t="shared" si="18" ref="J10:J19">ROUND((H10+I10)*F10,0)</f>
        <v>4386</v>
      </c>
      <c r="K10" s="1199">
        <f t="shared" si="10"/>
        <v>2600</v>
      </c>
      <c r="L10" s="1199">
        <f t="shared" si="10"/>
        <v>500</v>
      </c>
      <c r="M10" s="1199"/>
      <c r="N10" s="1222">
        <f t="shared" si="6"/>
        <v>33286</v>
      </c>
      <c r="O10" s="1199">
        <f t="shared" si="11"/>
        <v>0</v>
      </c>
      <c r="P10" s="1199">
        <f t="shared" si="11"/>
        <v>200</v>
      </c>
      <c r="Q10" s="1199">
        <f t="shared" si="11"/>
        <v>0</v>
      </c>
      <c r="R10" s="1199">
        <f t="shared" si="11"/>
        <v>0</v>
      </c>
      <c r="S10" s="1199">
        <f t="shared" si="11"/>
        <v>0</v>
      </c>
      <c r="T10" s="1199"/>
      <c r="U10" s="1200">
        <f aca="true" t="shared" si="19" ref="U10:U18">+U9</f>
        <v>0</v>
      </c>
      <c r="V10" s="1223">
        <f aca="true" t="shared" si="20" ref="V10:V19">+V9-U10</f>
        <v>-9398</v>
      </c>
      <c r="W10" s="1027">
        <f aca="true" t="shared" si="21" ref="W10:W19">+W9+1</f>
        <v>5</v>
      </c>
      <c r="AA10" s="1037"/>
      <c r="AB10" s="1004"/>
      <c r="AC10" s="1004"/>
      <c r="AD10" s="1004"/>
      <c r="AE10" s="1004"/>
      <c r="AF10" s="1038"/>
      <c r="AG10" s="979"/>
      <c r="AH10" s="979"/>
      <c r="AI10" s="1014">
        <f t="shared" si="0"/>
        <v>33286</v>
      </c>
      <c r="AJ10" s="979"/>
      <c r="AK10" s="979"/>
      <c r="AL10" s="979"/>
      <c r="AM10" s="979"/>
      <c r="AN10" s="1039">
        <f>+AN8+AN9</f>
        <v>1250</v>
      </c>
      <c r="AO10" s="979"/>
      <c r="AP10" s="979"/>
      <c r="AQ10" s="979"/>
      <c r="AR10" s="979"/>
      <c r="AS10" s="979"/>
      <c r="AT10" s="979"/>
      <c r="AU10" s="979"/>
      <c r="AV10" s="979"/>
      <c r="AW10" s="979" t="s">
        <v>8</v>
      </c>
      <c r="AX10" s="1022" t="s">
        <v>287</v>
      </c>
      <c r="AY10" s="979"/>
      <c r="AZ10" s="979"/>
      <c r="BA10" s="979"/>
      <c r="BB10" s="1003">
        <v>23901</v>
      </c>
      <c r="BC10" s="1003">
        <v>2600</v>
      </c>
      <c r="BE10" s="1040">
        <v>41101</v>
      </c>
      <c r="BF10" s="1040">
        <v>1200</v>
      </c>
      <c r="BG10" s="979"/>
      <c r="BH10" s="979"/>
      <c r="BI10" s="1024"/>
      <c r="BL10" s="977">
        <f t="shared" si="12"/>
        <v>25800</v>
      </c>
      <c r="BM10" s="977">
        <f t="shared" si="12"/>
        <v>0</v>
      </c>
      <c r="BN10" s="977">
        <f t="shared" si="13"/>
        <v>25800</v>
      </c>
      <c r="BO10" s="977">
        <f t="shared" si="14"/>
        <v>2600</v>
      </c>
      <c r="BP10" s="977">
        <f t="shared" si="15"/>
        <v>500</v>
      </c>
      <c r="BR10" s="1003">
        <v>23901</v>
      </c>
      <c r="BS10" s="1003">
        <v>2600</v>
      </c>
      <c r="BU10" s="1040">
        <v>41101</v>
      </c>
      <c r="BV10" s="1040">
        <v>1200</v>
      </c>
      <c r="BY10" s="1025">
        <f t="shared" si="16"/>
        <v>3</v>
      </c>
      <c r="BZ10" s="1025">
        <v>20300</v>
      </c>
      <c r="CA10" s="1025"/>
      <c r="CB10" s="1025"/>
      <c r="CC10" s="1025">
        <f t="shared" si="7"/>
        <v>3</v>
      </c>
      <c r="CD10" s="1025">
        <v>64100</v>
      </c>
      <c r="CG10" s="980">
        <f t="shared" si="8"/>
        <v>3</v>
      </c>
      <c r="CH10" s="976">
        <v>2500</v>
      </c>
      <c r="CP10" s="1026">
        <f t="shared" si="9"/>
        <v>23800</v>
      </c>
      <c r="CQ10" s="977">
        <f t="shared" si="1"/>
        <v>714</v>
      </c>
      <c r="CR10" s="1006">
        <f t="shared" si="2"/>
        <v>700</v>
      </c>
    </row>
    <row r="11" spans="1:96" ht="22.5" customHeight="1" thickBot="1">
      <c r="A11" s="1485"/>
      <c r="B11" s="1454" t="s">
        <v>234</v>
      </c>
      <c r="C11" s="1354">
        <f t="shared" si="3"/>
        <v>6</v>
      </c>
      <c r="D11" s="1008">
        <f t="shared" si="4"/>
        <v>24500</v>
      </c>
      <c r="E11" s="1009">
        <f t="shared" si="5"/>
        <v>0</v>
      </c>
      <c r="F11" s="1218">
        <f t="shared" si="17"/>
        <v>0.17</v>
      </c>
      <c r="G11" s="1219">
        <f>DATE(2021,6,1)</f>
        <v>44348</v>
      </c>
      <c r="H11" s="1224">
        <f>+H10</f>
        <v>25800</v>
      </c>
      <c r="I11" s="1199"/>
      <c r="J11" s="1221">
        <f t="shared" si="18"/>
        <v>4386</v>
      </c>
      <c r="K11" s="1199">
        <f t="shared" si="10"/>
        <v>2600</v>
      </c>
      <c r="L11" s="1199">
        <f t="shared" si="10"/>
        <v>500</v>
      </c>
      <c r="M11" s="1199"/>
      <c r="N11" s="1222">
        <f t="shared" si="6"/>
        <v>33286</v>
      </c>
      <c r="O11" s="1199">
        <f>+O10</f>
        <v>0</v>
      </c>
      <c r="P11" s="1199">
        <f t="shared" si="11"/>
        <v>200</v>
      </c>
      <c r="Q11" s="1199">
        <f t="shared" si="11"/>
        <v>0</v>
      </c>
      <c r="R11" s="1199">
        <f t="shared" si="11"/>
        <v>0</v>
      </c>
      <c r="S11" s="1199">
        <f t="shared" si="11"/>
        <v>0</v>
      </c>
      <c r="T11" s="1199"/>
      <c r="U11" s="1200">
        <f t="shared" si="19"/>
        <v>0</v>
      </c>
      <c r="V11" s="1223">
        <f t="shared" si="20"/>
        <v>-9398</v>
      </c>
      <c r="W11" s="1027">
        <f t="shared" si="21"/>
        <v>6</v>
      </c>
      <c r="AA11" s="1037" t="s">
        <v>29</v>
      </c>
      <c r="AB11" s="1041" t="str">
        <f>+G22</f>
        <v> </v>
      </c>
      <c r="AC11" s="1004"/>
      <c r="AD11" s="1004"/>
      <c r="AE11" s="1004"/>
      <c r="AF11" s="1013">
        <f>+AE16</f>
        <v>0</v>
      </c>
      <c r="AG11" s="979"/>
      <c r="AH11" s="979"/>
      <c r="AI11" s="1014">
        <f t="shared" si="0"/>
        <v>36898</v>
      </c>
      <c r="AJ11" s="979"/>
      <c r="AK11" s="979"/>
      <c r="AL11" s="979"/>
      <c r="AM11" s="979"/>
      <c r="AN11" s="1024"/>
      <c r="AO11" s="979"/>
      <c r="AP11" s="979"/>
      <c r="AQ11" s="979"/>
      <c r="AR11" s="979"/>
      <c r="AS11" s="979"/>
      <c r="AT11" s="979"/>
      <c r="AU11" s="1042">
        <f>+AS7+AT8</f>
        <v>69250</v>
      </c>
      <c r="AV11" s="979"/>
      <c r="AW11" s="979"/>
      <c r="AX11" s="979"/>
      <c r="AY11" s="979"/>
      <c r="AZ11" s="979"/>
      <c r="BA11" s="979"/>
      <c r="BB11" s="1003">
        <v>27201</v>
      </c>
      <c r="BC11" s="1003">
        <v>3100</v>
      </c>
      <c r="BG11" s="979"/>
      <c r="BH11" s="979"/>
      <c r="BI11" s="1024"/>
      <c r="BL11" s="977">
        <f t="shared" si="12"/>
        <v>25800</v>
      </c>
      <c r="BM11" s="977">
        <f t="shared" si="12"/>
        <v>0</v>
      </c>
      <c r="BN11" s="977">
        <f t="shared" si="13"/>
        <v>25800</v>
      </c>
      <c r="BO11" s="977">
        <f t="shared" si="14"/>
        <v>2600</v>
      </c>
      <c r="BP11" s="977">
        <f t="shared" si="15"/>
        <v>500</v>
      </c>
      <c r="BR11" s="1003">
        <v>27201</v>
      </c>
      <c r="BS11" s="1003">
        <v>3100</v>
      </c>
      <c r="BY11" s="1025">
        <f t="shared" si="16"/>
        <v>4</v>
      </c>
      <c r="BZ11" s="1025">
        <v>21100</v>
      </c>
      <c r="CA11" s="1025"/>
      <c r="CB11" s="1025"/>
      <c r="CC11" s="1025">
        <f t="shared" si="7"/>
        <v>4</v>
      </c>
      <c r="CD11" s="1025">
        <v>67100</v>
      </c>
      <c r="CG11" s="980">
        <f t="shared" si="8"/>
        <v>4</v>
      </c>
      <c r="CH11" s="976">
        <v>2800</v>
      </c>
      <c r="CP11" s="1026">
        <f t="shared" si="9"/>
        <v>24500</v>
      </c>
      <c r="CQ11" s="977">
        <f t="shared" si="1"/>
        <v>735</v>
      </c>
      <c r="CR11" s="1006">
        <f t="shared" si="2"/>
        <v>700</v>
      </c>
    </row>
    <row r="12" spans="1:96" ht="18.75" thickBot="1">
      <c r="A12" s="1366" t="s">
        <v>237</v>
      </c>
      <c r="B12" s="1359" t="str">
        <f>+B11</f>
        <v>Y</v>
      </c>
      <c r="C12" s="1354">
        <f t="shared" si="3"/>
        <v>7</v>
      </c>
      <c r="D12" s="1008">
        <f t="shared" si="4"/>
        <v>25200</v>
      </c>
      <c r="E12" s="1009">
        <f t="shared" si="5"/>
        <v>0</v>
      </c>
      <c r="F12" s="1218">
        <f>+F11</f>
        <v>0.17</v>
      </c>
      <c r="G12" s="1219">
        <f>DATE(2021,7,1)</f>
        <v>44378</v>
      </c>
      <c r="H12" s="1220">
        <f>IF($B$8&lt;7,$H$11,IF($B$8=7,$H$11+$B$7,IF($B$8&gt;7,$H$11)))</f>
        <v>25800</v>
      </c>
      <c r="I12" s="1199"/>
      <c r="J12" s="1221">
        <f t="shared" si="18"/>
        <v>4386</v>
      </c>
      <c r="K12" s="1199">
        <f t="shared" si="10"/>
        <v>2600</v>
      </c>
      <c r="L12" s="1199">
        <f t="shared" si="10"/>
        <v>500</v>
      </c>
      <c r="M12" s="1199"/>
      <c r="N12" s="1222">
        <f t="shared" si="6"/>
        <v>33286</v>
      </c>
      <c r="O12" s="1199">
        <f t="shared" si="11"/>
        <v>0</v>
      </c>
      <c r="P12" s="1199">
        <f t="shared" si="11"/>
        <v>200</v>
      </c>
      <c r="Q12" s="1199">
        <f t="shared" si="11"/>
        <v>0</v>
      </c>
      <c r="R12" s="1199">
        <f t="shared" si="11"/>
        <v>0</v>
      </c>
      <c r="S12" s="1199">
        <f t="shared" si="11"/>
        <v>0</v>
      </c>
      <c r="T12" s="1199"/>
      <c r="U12" s="1200">
        <f t="shared" si="19"/>
        <v>0</v>
      </c>
      <c r="V12" s="1223">
        <f t="shared" si="20"/>
        <v>-9398</v>
      </c>
      <c r="W12" s="1027">
        <f t="shared" si="21"/>
        <v>7</v>
      </c>
      <c r="AA12" s="1486" t="s">
        <v>67</v>
      </c>
      <c r="AB12" s="1487"/>
      <c r="AC12" s="1043"/>
      <c r="AD12" s="1043"/>
      <c r="AE12" s="1043"/>
      <c r="AF12" s="1044">
        <f>+AF8+AF9+AF11</f>
        <v>1500</v>
      </c>
      <c r="AG12" s="979"/>
      <c r="AH12" s="979"/>
      <c r="AI12" s="1032">
        <f>SUM(AI6:AI11)</f>
        <v>203328</v>
      </c>
      <c r="AJ12" s="1034"/>
      <c r="AK12" s="1045" t="s">
        <v>4</v>
      </c>
      <c r="AL12" s="1046">
        <f>+N14</f>
        <v>33286</v>
      </c>
      <c r="AM12" s="1046">
        <f>+AI12</f>
        <v>203328</v>
      </c>
      <c r="AN12" s="1017">
        <f>IF(AM12&lt;21000,0,IF(AM12&lt;30000,135,IF(AM12&lt;45000,315,IF(AM12&lt;60000,690,IF(AM12&lt;75000,1025,1250)))))</f>
        <v>1250</v>
      </c>
      <c r="AO12" s="979"/>
      <c r="AP12" s="979"/>
      <c r="AQ12" s="979"/>
      <c r="AR12" s="979"/>
      <c r="AS12" s="979"/>
      <c r="AT12" s="979"/>
      <c r="AU12" s="979"/>
      <c r="AV12" s="979"/>
      <c r="AW12" s="979" t="s">
        <v>6</v>
      </c>
      <c r="AX12" s="1047">
        <f>IF(AX21&gt;250000,250000,IF(AND(AX21&lt;250001),AX21,0))</f>
        <v>69250</v>
      </c>
      <c r="AY12" s="979"/>
      <c r="AZ12" s="979">
        <v>500000</v>
      </c>
      <c r="BA12" s="979"/>
      <c r="BB12" s="1003">
        <v>30601</v>
      </c>
      <c r="BC12" s="1003">
        <v>3600</v>
      </c>
      <c r="BG12" s="979"/>
      <c r="BH12" s="979"/>
      <c r="BI12" s="1024"/>
      <c r="BL12" s="977">
        <f t="shared" si="12"/>
        <v>25800</v>
      </c>
      <c r="BM12" s="977">
        <f t="shared" si="12"/>
        <v>0</v>
      </c>
      <c r="BN12" s="977">
        <f t="shared" si="13"/>
        <v>25800</v>
      </c>
      <c r="BO12" s="977">
        <f t="shared" si="14"/>
        <v>2600</v>
      </c>
      <c r="BP12" s="977">
        <f t="shared" si="15"/>
        <v>500</v>
      </c>
      <c r="BR12" s="1003">
        <v>30601</v>
      </c>
      <c r="BS12" s="1003">
        <v>3600</v>
      </c>
      <c r="BY12" s="1025">
        <f t="shared" si="16"/>
        <v>5</v>
      </c>
      <c r="BZ12" s="1025">
        <v>36400</v>
      </c>
      <c r="CA12" s="1025"/>
      <c r="CB12" s="1025"/>
      <c r="CC12" s="1025">
        <f t="shared" si="7"/>
        <v>5</v>
      </c>
      <c r="CD12" s="1025">
        <v>115700</v>
      </c>
      <c r="CG12" s="980">
        <f t="shared" si="8"/>
        <v>5</v>
      </c>
      <c r="CH12" s="976">
        <v>4300</v>
      </c>
      <c r="CP12" s="1026">
        <f t="shared" si="9"/>
        <v>25200</v>
      </c>
      <c r="CQ12" s="977">
        <f t="shared" si="1"/>
        <v>756</v>
      </c>
      <c r="CR12" s="1006">
        <f t="shared" si="2"/>
        <v>800</v>
      </c>
    </row>
    <row r="13" spans="1:96" ht="18.75" thickBot="1">
      <c r="A13" s="1366" t="s">
        <v>303</v>
      </c>
      <c r="B13" s="1358">
        <f>+S96</f>
        <v>8300</v>
      </c>
      <c r="C13" s="1354">
        <f t="shared" si="3"/>
        <v>8</v>
      </c>
      <c r="D13" s="1008">
        <f t="shared" si="4"/>
        <v>26000</v>
      </c>
      <c r="E13" s="1009">
        <f t="shared" si="5"/>
        <v>26000</v>
      </c>
      <c r="F13" s="1218">
        <f t="shared" si="17"/>
        <v>0.17</v>
      </c>
      <c r="G13" s="1219">
        <f>DATE(2021,8,1)</f>
        <v>44409</v>
      </c>
      <c r="H13" s="1224">
        <f aca="true" t="shared" si="22" ref="H13:H19">+H12</f>
        <v>25800</v>
      </c>
      <c r="I13" s="1199"/>
      <c r="J13" s="1221">
        <f t="shared" si="18"/>
        <v>4386</v>
      </c>
      <c r="K13" s="1199">
        <f t="shared" si="10"/>
        <v>2600</v>
      </c>
      <c r="L13" s="1199">
        <f t="shared" si="10"/>
        <v>500</v>
      </c>
      <c r="M13" s="1199"/>
      <c r="N13" s="1222">
        <f t="shared" si="6"/>
        <v>33286</v>
      </c>
      <c r="O13" s="1199">
        <f t="shared" si="11"/>
        <v>0</v>
      </c>
      <c r="P13" s="1199">
        <f t="shared" si="11"/>
        <v>200</v>
      </c>
      <c r="Q13" s="1199">
        <f t="shared" si="11"/>
        <v>0</v>
      </c>
      <c r="R13" s="1199">
        <f t="shared" si="11"/>
        <v>0</v>
      </c>
      <c r="S13" s="1199">
        <f t="shared" si="11"/>
        <v>0</v>
      </c>
      <c r="T13" s="1414">
        <f>+AN10</f>
        <v>1250</v>
      </c>
      <c r="U13" s="1200">
        <f t="shared" si="19"/>
        <v>0</v>
      </c>
      <c r="V13" s="1223">
        <f t="shared" si="20"/>
        <v>-9398</v>
      </c>
      <c r="W13" s="1027">
        <f t="shared" si="21"/>
        <v>8</v>
      </c>
      <c r="AA13" s="1048"/>
      <c r="AB13" s="979"/>
      <c r="AC13" s="979"/>
      <c r="AD13" s="979"/>
      <c r="AE13" s="979"/>
      <c r="AF13" s="1024"/>
      <c r="AG13" s="979"/>
      <c r="AH13" s="979"/>
      <c r="AI13" s="1048"/>
      <c r="AJ13" s="979"/>
      <c r="AK13" s="979"/>
      <c r="AL13" s="979"/>
      <c r="AM13" s="979"/>
      <c r="AN13" s="979"/>
      <c r="AO13" s="979"/>
      <c r="AP13" s="979"/>
      <c r="AQ13" s="979"/>
      <c r="AR13" s="979"/>
      <c r="AS13" s="979"/>
      <c r="AT13" s="979"/>
      <c r="AU13" s="979"/>
      <c r="AV13" s="979"/>
      <c r="AW13" s="979" t="s">
        <v>8</v>
      </c>
      <c r="AX13" s="1047">
        <f>IF(AX21&gt;250000,250000,IF(AND(AX21&lt;250001),AX21,0))</f>
        <v>69250</v>
      </c>
      <c r="AY13" s="979"/>
      <c r="AZ13" s="979">
        <v>250000</v>
      </c>
      <c r="BA13" s="979"/>
      <c r="BB13" s="1003">
        <v>35401</v>
      </c>
      <c r="BC13" s="1003">
        <v>4200</v>
      </c>
      <c r="BG13" s="979"/>
      <c r="BH13" s="979"/>
      <c r="BI13" s="1024"/>
      <c r="BL13" s="977">
        <f t="shared" si="12"/>
        <v>25800</v>
      </c>
      <c r="BM13" s="977">
        <f t="shared" si="12"/>
        <v>0</v>
      </c>
      <c r="BN13" s="977">
        <f t="shared" si="13"/>
        <v>25800</v>
      </c>
      <c r="BO13" s="977">
        <f t="shared" si="14"/>
        <v>2600</v>
      </c>
      <c r="BP13" s="977">
        <f t="shared" si="15"/>
        <v>500</v>
      </c>
      <c r="BR13" s="1003">
        <v>35401</v>
      </c>
      <c r="BS13" s="1003">
        <v>4200</v>
      </c>
      <c r="BY13" s="1025">
        <f t="shared" si="16"/>
        <v>6</v>
      </c>
      <c r="BZ13" s="1025">
        <v>39800</v>
      </c>
      <c r="CA13" s="1025"/>
      <c r="CB13" s="1025"/>
      <c r="CC13" s="1025">
        <f t="shared" si="7"/>
        <v>6</v>
      </c>
      <c r="CD13" s="1049">
        <v>126500</v>
      </c>
      <c r="CG13" s="980">
        <f t="shared" si="8"/>
        <v>6</v>
      </c>
      <c r="CH13" s="976">
        <v>5100</v>
      </c>
      <c r="CP13" s="1026">
        <f t="shared" si="9"/>
        <v>26000</v>
      </c>
      <c r="CQ13" s="977">
        <f t="shared" si="1"/>
        <v>780</v>
      </c>
      <c r="CR13" s="1006">
        <f t="shared" si="2"/>
        <v>800</v>
      </c>
    </row>
    <row r="14" spans="1:96" ht="18.75" thickBot="1">
      <c r="A14" s="1370" t="s">
        <v>304</v>
      </c>
      <c r="B14" s="1361">
        <f>+N105</f>
        <v>31200</v>
      </c>
      <c r="C14" s="1354">
        <f t="shared" si="3"/>
        <v>9</v>
      </c>
      <c r="D14" s="1008">
        <f t="shared" si="4"/>
        <v>26800</v>
      </c>
      <c r="E14" s="1009">
        <f t="shared" si="5"/>
        <v>0</v>
      </c>
      <c r="F14" s="1218">
        <f t="shared" si="17"/>
        <v>0.17</v>
      </c>
      <c r="G14" s="1219">
        <f>DATE(2021,9,1)</f>
        <v>44440</v>
      </c>
      <c r="H14" s="1224">
        <f t="shared" si="22"/>
        <v>25800</v>
      </c>
      <c r="I14" s="1199"/>
      <c r="J14" s="1221">
        <f t="shared" si="18"/>
        <v>4386</v>
      </c>
      <c r="K14" s="1199">
        <f t="shared" si="10"/>
        <v>2600</v>
      </c>
      <c r="L14" s="1199">
        <f t="shared" si="10"/>
        <v>500</v>
      </c>
      <c r="M14" s="1199"/>
      <c r="N14" s="1222">
        <f t="shared" si="6"/>
        <v>33286</v>
      </c>
      <c r="O14" s="1199">
        <f t="shared" si="11"/>
        <v>0</v>
      </c>
      <c r="P14" s="1199">
        <f t="shared" si="11"/>
        <v>200</v>
      </c>
      <c r="Q14" s="1199">
        <f t="shared" si="11"/>
        <v>0</v>
      </c>
      <c r="R14" s="1199">
        <f t="shared" si="11"/>
        <v>0</v>
      </c>
      <c r="S14" s="1199">
        <f t="shared" si="11"/>
        <v>0</v>
      </c>
      <c r="T14" s="1199"/>
      <c r="U14" s="1200">
        <f t="shared" si="19"/>
        <v>0</v>
      </c>
      <c r="V14" s="1223">
        <f t="shared" si="20"/>
        <v>-9398</v>
      </c>
      <c r="W14" s="1027">
        <f t="shared" si="21"/>
        <v>9</v>
      </c>
      <c r="X14" s="981"/>
      <c r="Y14" s="981"/>
      <c r="Z14" s="981"/>
      <c r="AA14" s="1050"/>
      <c r="AB14" s="1051"/>
      <c r="AC14" s="1052"/>
      <c r="AD14" s="1052"/>
      <c r="AE14" s="1052"/>
      <c r="AF14" s="1053"/>
      <c r="AG14" s="979"/>
      <c r="AH14" s="979"/>
      <c r="AI14" s="1048"/>
      <c r="AJ14" s="1036">
        <f>IF($B$16=0,0,VLOOKUP($G$21,$G$8:$L$17,2)/$B$16)</f>
        <v>0</v>
      </c>
      <c r="AK14" s="979"/>
      <c r="AL14" s="1031">
        <f>IF($B$19=0,0,VLOOKUP($G$22,$G$18:$L$19,2)/$B$19)</f>
        <v>0</v>
      </c>
      <c r="AM14" s="979"/>
      <c r="AN14" s="979"/>
      <c r="AO14" s="979"/>
      <c r="AP14" s="979"/>
      <c r="AQ14" s="979"/>
      <c r="AR14" s="979"/>
      <c r="AS14" s="979"/>
      <c r="AT14" s="979"/>
      <c r="AU14" s="979"/>
      <c r="AV14" s="979"/>
      <c r="AW14" s="979"/>
      <c r="AX14" s="979"/>
      <c r="AY14" s="979"/>
      <c r="AZ14" s="979">
        <f>+AZ12-AZ13</f>
        <v>250000</v>
      </c>
      <c r="BA14" s="979"/>
      <c r="BB14" s="1003">
        <v>37301</v>
      </c>
      <c r="BC14" s="1003">
        <v>4700</v>
      </c>
      <c r="BG14" s="979"/>
      <c r="BH14" s="979"/>
      <c r="BI14" s="1024"/>
      <c r="BL14" s="977">
        <f t="shared" si="12"/>
        <v>25800</v>
      </c>
      <c r="BM14" s="977">
        <f t="shared" si="12"/>
        <v>0</v>
      </c>
      <c r="BN14" s="977">
        <f t="shared" si="13"/>
        <v>25800</v>
      </c>
      <c r="BO14" s="977">
        <f t="shared" si="14"/>
        <v>2600</v>
      </c>
      <c r="BP14" s="977">
        <f t="shared" si="15"/>
        <v>500</v>
      </c>
      <c r="BR14" s="1003">
        <v>37301</v>
      </c>
      <c r="BS14" s="1003">
        <v>4700</v>
      </c>
      <c r="BY14" s="1025">
        <f t="shared" si="16"/>
        <v>7</v>
      </c>
      <c r="BZ14" s="1025">
        <v>56300</v>
      </c>
      <c r="CA14" s="1025"/>
      <c r="CB14" s="1025"/>
      <c r="CC14" s="1025">
        <f t="shared" si="7"/>
        <v>7</v>
      </c>
      <c r="CD14" s="1049">
        <v>178000</v>
      </c>
      <c r="CG14" s="980">
        <f t="shared" si="8"/>
        <v>7</v>
      </c>
      <c r="CH14" s="976">
        <v>5400</v>
      </c>
      <c r="CP14" s="1026">
        <f t="shared" si="9"/>
        <v>26800</v>
      </c>
      <c r="CQ14" s="977">
        <f t="shared" si="1"/>
        <v>804</v>
      </c>
      <c r="CR14" s="1006">
        <f t="shared" si="2"/>
        <v>800</v>
      </c>
    </row>
    <row r="15" spans="1:96" ht="18.75" thickBot="1">
      <c r="A15" s="1370" t="s">
        <v>399</v>
      </c>
      <c r="B15" s="1359">
        <v>0</v>
      </c>
      <c r="C15" s="1354">
        <f t="shared" si="3"/>
        <v>10</v>
      </c>
      <c r="D15" s="1008">
        <f t="shared" si="4"/>
        <v>27600</v>
      </c>
      <c r="E15" s="1009">
        <f t="shared" si="5"/>
        <v>0</v>
      </c>
      <c r="F15" s="1218">
        <f t="shared" si="17"/>
        <v>0.17</v>
      </c>
      <c r="G15" s="1219">
        <f>DATE(2021,10,1)</f>
        <v>44470</v>
      </c>
      <c r="H15" s="1220">
        <f>IF($B$8&lt;10,$H$14,IF($B$8=10,$H$14+$B$7,IF($B$8&gt;10,$H$14)))</f>
        <v>25800</v>
      </c>
      <c r="I15" s="1199"/>
      <c r="J15" s="1221">
        <f t="shared" si="18"/>
        <v>4386</v>
      </c>
      <c r="K15" s="1199">
        <f t="shared" si="10"/>
        <v>2600</v>
      </c>
      <c r="L15" s="1199">
        <f t="shared" si="10"/>
        <v>500</v>
      </c>
      <c r="M15" s="1199"/>
      <c r="N15" s="1222">
        <f t="shared" si="6"/>
        <v>33286</v>
      </c>
      <c r="O15" s="1199">
        <f>+O14</f>
        <v>0</v>
      </c>
      <c r="P15" s="1199">
        <f t="shared" si="11"/>
        <v>200</v>
      </c>
      <c r="Q15" s="1199">
        <f t="shared" si="11"/>
        <v>0</v>
      </c>
      <c r="R15" s="1199">
        <f t="shared" si="11"/>
        <v>0</v>
      </c>
      <c r="S15" s="1199">
        <f t="shared" si="11"/>
        <v>0</v>
      </c>
      <c r="T15" s="1199"/>
      <c r="U15" s="1200">
        <f t="shared" si="19"/>
        <v>0</v>
      </c>
      <c r="V15" s="1223">
        <f t="shared" si="20"/>
        <v>-9398</v>
      </c>
      <c r="W15" s="1027">
        <f t="shared" si="21"/>
        <v>10</v>
      </c>
      <c r="AA15" s="1054"/>
      <c r="AB15" s="1055"/>
      <c r="AC15" s="1056"/>
      <c r="AD15" s="1056"/>
      <c r="AE15" s="1057"/>
      <c r="AF15" s="1053"/>
      <c r="AG15" s="979"/>
      <c r="AH15" s="979"/>
      <c r="AI15" s="1048"/>
      <c r="AJ15" s="1036">
        <f>IF($B$16=0,0,VLOOKUP($G$21,$G$8:$L$17,3)/$B$16)</f>
        <v>0</v>
      </c>
      <c r="AK15" s="979"/>
      <c r="AL15" s="1036">
        <f>IF($B$19=0,0,VLOOKUP($G$22,$G$18:$L$19,3)/$B$19)</f>
        <v>0</v>
      </c>
      <c r="AM15" s="979"/>
      <c r="AN15" s="979"/>
      <c r="AO15" s="979"/>
      <c r="AP15" s="979"/>
      <c r="AQ15" s="979"/>
      <c r="AR15" s="979"/>
      <c r="AS15" s="979"/>
      <c r="AT15" s="979"/>
      <c r="AU15" s="979"/>
      <c r="AV15" s="979"/>
      <c r="AW15" s="979"/>
      <c r="AX15" s="979"/>
      <c r="AY15" s="979"/>
      <c r="AZ15" s="979"/>
      <c r="BA15" s="979"/>
      <c r="BB15" s="1003">
        <v>41101</v>
      </c>
      <c r="BC15" s="1003">
        <v>5200</v>
      </c>
      <c r="BG15" s="979"/>
      <c r="BH15" s="979"/>
      <c r="BI15" s="1024"/>
      <c r="BL15" s="977">
        <f t="shared" si="12"/>
        <v>25800</v>
      </c>
      <c r="BM15" s="977">
        <f t="shared" si="12"/>
        <v>0</v>
      </c>
      <c r="BN15" s="977">
        <f t="shared" si="13"/>
        <v>25800</v>
      </c>
      <c r="BO15" s="977">
        <f t="shared" si="14"/>
        <v>2600</v>
      </c>
      <c r="BP15" s="977">
        <f t="shared" si="15"/>
        <v>500</v>
      </c>
      <c r="BR15" s="1003">
        <v>41101</v>
      </c>
      <c r="BS15" s="1003">
        <v>5200</v>
      </c>
      <c r="BY15" s="1025">
        <f t="shared" si="16"/>
        <v>8</v>
      </c>
      <c r="BZ15" s="1025">
        <v>58200</v>
      </c>
      <c r="CA15" s="1025"/>
      <c r="CB15" s="1025"/>
      <c r="CC15" s="1025">
        <f t="shared" si="7"/>
        <v>8</v>
      </c>
      <c r="CD15" s="1049">
        <v>184300</v>
      </c>
      <c r="CG15" s="980">
        <f t="shared" si="8"/>
        <v>8</v>
      </c>
      <c r="CH15" s="976">
        <v>6100</v>
      </c>
      <c r="CP15" s="1026">
        <f t="shared" si="9"/>
        <v>27600</v>
      </c>
      <c r="CQ15" s="977">
        <f t="shared" si="1"/>
        <v>828</v>
      </c>
      <c r="CR15" s="1006">
        <f t="shared" si="2"/>
        <v>800</v>
      </c>
    </row>
    <row r="16" spans="1:96" ht="18">
      <c r="A16" s="1366"/>
      <c r="B16" s="1359">
        <v>0</v>
      </c>
      <c r="C16" s="1354">
        <f t="shared" si="3"/>
        <v>11</v>
      </c>
      <c r="D16" s="1008">
        <f t="shared" si="4"/>
        <v>28400</v>
      </c>
      <c r="E16" s="1009">
        <f t="shared" si="5"/>
        <v>0</v>
      </c>
      <c r="F16" s="1218">
        <f t="shared" si="17"/>
        <v>0.17</v>
      </c>
      <c r="G16" s="1219">
        <f>DATE(2021,11,1)</f>
        <v>44501</v>
      </c>
      <c r="H16" s="1224">
        <f t="shared" si="22"/>
        <v>25800</v>
      </c>
      <c r="I16" s="1199"/>
      <c r="J16" s="1221">
        <f t="shared" si="18"/>
        <v>4386</v>
      </c>
      <c r="K16" s="1199">
        <f t="shared" si="10"/>
        <v>2600</v>
      </c>
      <c r="L16" s="1199">
        <f t="shared" si="10"/>
        <v>500</v>
      </c>
      <c r="M16" s="1199"/>
      <c r="N16" s="1222">
        <f t="shared" si="6"/>
        <v>33286</v>
      </c>
      <c r="O16" s="1199">
        <f>+O15</f>
        <v>0</v>
      </c>
      <c r="P16" s="1199">
        <f t="shared" si="11"/>
        <v>200</v>
      </c>
      <c r="Q16" s="1199">
        <f t="shared" si="11"/>
        <v>0</v>
      </c>
      <c r="R16" s="1199">
        <f t="shared" si="11"/>
        <v>0</v>
      </c>
      <c r="S16" s="1199">
        <f t="shared" si="11"/>
        <v>0</v>
      </c>
      <c r="T16" s="1199"/>
      <c r="U16" s="1200">
        <f t="shared" si="19"/>
        <v>0</v>
      </c>
      <c r="V16" s="1223">
        <f t="shared" si="20"/>
        <v>-9398</v>
      </c>
      <c r="W16" s="1027">
        <f t="shared" si="21"/>
        <v>11</v>
      </c>
      <c r="AA16" s="1058" t="str">
        <f>IF($B$18=0," ",DATE(2018,$B$18,1))</f>
        <v> </v>
      </c>
      <c r="AB16" s="1036"/>
      <c r="AC16" s="1004"/>
      <c r="AD16" s="1004"/>
      <c r="AE16" s="1036">
        <f>IF($B19=0,0,VLOOKUP($AA16,$AA8:$AF8,6)/$B$19)</f>
        <v>0</v>
      </c>
      <c r="AF16" s="994">
        <v>0</v>
      </c>
      <c r="AG16" s="979"/>
      <c r="AH16" s="979"/>
      <c r="AI16" s="1048"/>
      <c r="AJ16" s="1036">
        <f>IF($B$16=0,0,VLOOKUP($G$21,$G$8:$L$17,4)/$B$16)</f>
        <v>0</v>
      </c>
      <c r="AK16" s="979"/>
      <c r="AL16" s="1036">
        <f>IF($B$19=0,0,VLOOKUP($G$22,$G$18:$L$19,4)/$B$19)</f>
        <v>0</v>
      </c>
      <c r="AM16" s="979"/>
      <c r="AN16" s="977">
        <f>ROUND(V15/4,0)</f>
        <v>-2350</v>
      </c>
      <c r="AO16" s="1059" t="e">
        <f>CEILING(AN16,100)</f>
        <v>#NUM!</v>
      </c>
      <c r="AP16" s="1060">
        <f>ROUNDDOWN(AN16,0.1)</f>
        <v>-2350</v>
      </c>
      <c r="AQ16" s="979"/>
      <c r="AR16" s="979"/>
      <c r="AS16" s="1015">
        <v>9</v>
      </c>
      <c r="AT16" s="1022" t="s">
        <v>40</v>
      </c>
      <c r="AU16" s="979"/>
      <c r="AV16" s="979"/>
      <c r="AW16" s="979"/>
      <c r="AX16" s="1061">
        <f>IF(U40&gt;100001,100000,IF(AND(U40&lt;100001),U40))</f>
        <v>12400</v>
      </c>
      <c r="AY16" s="979"/>
      <c r="AZ16" s="979"/>
      <c r="BA16" s="979"/>
      <c r="BB16" s="1003">
        <v>44501</v>
      </c>
      <c r="BC16" s="1003">
        <v>5700</v>
      </c>
      <c r="BG16" s="979"/>
      <c r="BH16" s="979"/>
      <c r="BI16" s="1024"/>
      <c r="BL16" s="977">
        <f t="shared" si="12"/>
        <v>25800</v>
      </c>
      <c r="BM16" s="977">
        <f t="shared" si="12"/>
        <v>0</v>
      </c>
      <c r="BN16" s="977">
        <f t="shared" si="13"/>
        <v>25800</v>
      </c>
      <c r="BO16" s="977">
        <f t="shared" si="14"/>
        <v>2600</v>
      </c>
      <c r="BP16" s="977">
        <f t="shared" si="15"/>
        <v>500</v>
      </c>
      <c r="BR16" s="1003">
        <v>44501</v>
      </c>
      <c r="BS16" s="1003">
        <v>5700</v>
      </c>
      <c r="BY16" s="1025">
        <f t="shared" si="16"/>
        <v>9</v>
      </c>
      <c r="BZ16" s="1025">
        <v>58500</v>
      </c>
      <c r="CA16" s="1025"/>
      <c r="CB16" s="1025"/>
      <c r="CC16" s="1025">
        <f t="shared" si="7"/>
        <v>9</v>
      </c>
      <c r="CD16" s="1049">
        <v>185800</v>
      </c>
      <c r="CG16" s="980">
        <f t="shared" si="8"/>
        <v>9</v>
      </c>
      <c r="CH16" s="976">
        <v>6200</v>
      </c>
      <c r="CP16" s="1026">
        <f t="shared" si="9"/>
        <v>28400</v>
      </c>
      <c r="CQ16" s="977">
        <f t="shared" si="1"/>
        <v>852</v>
      </c>
      <c r="CR16" s="1006">
        <f t="shared" si="2"/>
        <v>900</v>
      </c>
    </row>
    <row r="17" spans="1:96" ht="18">
      <c r="A17" s="1366"/>
      <c r="B17" s="1362"/>
      <c r="C17" s="1354">
        <f t="shared" si="3"/>
        <v>12</v>
      </c>
      <c r="D17" s="1008">
        <f t="shared" si="4"/>
        <v>29300</v>
      </c>
      <c r="E17" s="1009">
        <f t="shared" si="5"/>
        <v>0</v>
      </c>
      <c r="F17" s="1218">
        <f t="shared" si="17"/>
        <v>0.17</v>
      </c>
      <c r="G17" s="1219">
        <f>DATE(2021,12,1)</f>
        <v>44531</v>
      </c>
      <c r="H17" s="1224">
        <f>+H16</f>
        <v>25800</v>
      </c>
      <c r="I17" s="1199"/>
      <c r="J17" s="1221">
        <f t="shared" si="18"/>
        <v>4386</v>
      </c>
      <c r="K17" s="1199">
        <f t="shared" si="10"/>
        <v>2600</v>
      </c>
      <c r="L17" s="1199">
        <f t="shared" si="10"/>
        <v>500</v>
      </c>
      <c r="M17" s="1199"/>
      <c r="N17" s="1222">
        <f t="shared" si="6"/>
        <v>33286</v>
      </c>
      <c r="O17" s="1199">
        <f>+O16</f>
        <v>0</v>
      </c>
      <c r="P17" s="1199">
        <f t="shared" si="11"/>
        <v>200</v>
      </c>
      <c r="Q17" s="1199">
        <f t="shared" si="11"/>
        <v>0</v>
      </c>
      <c r="R17" s="1199">
        <f t="shared" si="11"/>
        <v>0</v>
      </c>
      <c r="S17" s="1199">
        <f t="shared" si="11"/>
        <v>0</v>
      </c>
      <c r="T17" s="1199"/>
      <c r="U17" s="1200">
        <f t="shared" si="19"/>
        <v>0</v>
      </c>
      <c r="V17" s="1223">
        <f t="shared" si="20"/>
        <v>-9398</v>
      </c>
      <c r="W17" s="1027">
        <f t="shared" si="21"/>
        <v>12</v>
      </c>
      <c r="AA17" s="1011">
        <v>1</v>
      </c>
      <c r="AB17" s="1062">
        <f>DATE(2021,1,1)</f>
        <v>44197</v>
      </c>
      <c r="AC17" s="1004"/>
      <c r="AD17" s="1004"/>
      <c r="AE17" s="1063">
        <f>DATE(2021,1,1)</f>
        <v>44197</v>
      </c>
      <c r="AF17" s="1038">
        <f>ROUND(+AF8/2,0)</f>
        <v>375</v>
      </c>
      <c r="AG17" s="979"/>
      <c r="AH17" s="979"/>
      <c r="AI17" s="1048"/>
      <c r="AJ17" s="1036">
        <f>IF($B$16=0,0,VLOOKUP($G$21,$G$8:$L$17,5)/$B$16)</f>
        <v>0</v>
      </c>
      <c r="AK17" s="979"/>
      <c r="AL17" s="1036">
        <f>IF($B$19=0,0,VLOOKUP($G$22,$G$18:$L$19,5)/$B$19)</f>
        <v>0</v>
      </c>
      <c r="AM17" s="979"/>
      <c r="AN17" s="977">
        <f>ROUND(V16/3,0)</f>
        <v>-3133</v>
      </c>
      <c r="AO17" s="1059" t="e">
        <f>CEILING(AN17,100)</f>
        <v>#NUM!</v>
      </c>
      <c r="AP17" s="979"/>
      <c r="AQ17" s="979"/>
      <c r="AR17" s="979"/>
      <c r="AS17" s="1015" t="s">
        <v>82</v>
      </c>
      <c r="AT17" s="1022" t="s">
        <v>81</v>
      </c>
      <c r="AU17" s="1022"/>
      <c r="AV17" s="1022"/>
      <c r="AW17" s="979"/>
      <c r="AX17" s="1064">
        <f>+U43</f>
        <v>0</v>
      </c>
      <c r="AY17" s="979"/>
      <c r="AZ17" s="979"/>
      <c r="BA17" s="979"/>
      <c r="BB17" s="1003">
        <v>50201</v>
      </c>
      <c r="BC17" s="1003">
        <v>6200</v>
      </c>
      <c r="BG17" s="979"/>
      <c r="BH17" s="979"/>
      <c r="BI17" s="1024"/>
      <c r="BL17" s="977">
        <f t="shared" si="12"/>
        <v>25800</v>
      </c>
      <c r="BM17" s="977">
        <f t="shared" si="12"/>
        <v>0</v>
      </c>
      <c r="BN17" s="977">
        <f t="shared" si="13"/>
        <v>25800</v>
      </c>
      <c r="BO17" s="977">
        <f t="shared" si="14"/>
        <v>2600</v>
      </c>
      <c r="BP17" s="977">
        <f t="shared" si="15"/>
        <v>500</v>
      </c>
      <c r="BR17" s="1003">
        <v>50201</v>
      </c>
      <c r="BS17" s="1003">
        <v>6200</v>
      </c>
      <c r="BY17" s="1025">
        <f t="shared" si="16"/>
        <v>10</v>
      </c>
      <c r="BZ17" s="1025">
        <v>60600</v>
      </c>
      <c r="CA17" s="1025"/>
      <c r="CB17" s="1025"/>
      <c r="CC17" s="1025">
        <f t="shared" si="7"/>
        <v>10</v>
      </c>
      <c r="CD17" s="1049">
        <v>191800</v>
      </c>
      <c r="CG17" s="980">
        <f t="shared" si="8"/>
        <v>10</v>
      </c>
      <c r="CH17" s="976">
        <v>7000</v>
      </c>
      <c r="CP17" s="1026">
        <f t="shared" si="9"/>
        <v>29300</v>
      </c>
      <c r="CQ17" s="977">
        <f t="shared" si="1"/>
        <v>879</v>
      </c>
      <c r="CR17" s="1006">
        <f t="shared" si="2"/>
        <v>900</v>
      </c>
    </row>
    <row r="18" spans="1:96" ht="18">
      <c r="A18" s="1370" t="s">
        <v>441</v>
      </c>
      <c r="B18" s="1359">
        <v>0</v>
      </c>
      <c r="C18" s="1354">
        <f t="shared" si="3"/>
        <v>13</v>
      </c>
      <c r="D18" s="1008">
        <f t="shared" si="4"/>
        <v>30200</v>
      </c>
      <c r="E18" s="1009">
        <f t="shared" si="5"/>
        <v>0</v>
      </c>
      <c r="F18" s="1218">
        <v>0.31</v>
      </c>
      <c r="G18" s="1219">
        <f>DATE(2022,1,1)</f>
        <v>44562</v>
      </c>
      <c r="H18" s="1224">
        <f>IF($B$8&lt;1,$H$17,IF($B$8=1,$H$17+$B$7,IF($B$8&gt;1,$H$17)))</f>
        <v>25800</v>
      </c>
      <c r="I18" s="1199"/>
      <c r="J18" s="1221">
        <f t="shared" si="18"/>
        <v>7998</v>
      </c>
      <c r="K18" s="1199">
        <f t="shared" si="10"/>
        <v>2600</v>
      </c>
      <c r="L18" s="1199">
        <f t="shared" si="10"/>
        <v>500</v>
      </c>
      <c r="M18" s="1199"/>
      <c r="N18" s="1222">
        <f t="shared" si="6"/>
        <v>36898</v>
      </c>
      <c r="O18" s="1199">
        <f>+O17</f>
        <v>0</v>
      </c>
      <c r="P18" s="1199">
        <f t="shared" si="11"/>
        <v>200</v>
      </c>
      <c r="Q18" s="1199">
        <f t="shared" si="11"/>
        <v>0</v>
      </c>
      <c r="R18" s="1199">
        <f t="shared" si="11"/>
        <v>0</v>
      </c>
      <c r="S18" s="1199">
        <f t="shared" si="11"/>
        <v>0</v>
      </c>
      <c r="T18" s="1414">
        <f>+AN12</f>
        <v>1250</v>
      </c>
      <c r="U18" s="1200">
        <f t="shared" si="19"/>
        <v>0</v>
      </c>
      <c r="V18" s="1223">
        <f t="shared" si="20"/>
        <v>-9398</v>
      </c>
      <c r="W18" s="1027">
        <v>1</v>
      </c>
      <c r="AA18" s="1011">
        <v>2</v>
      </c>
      <c r="AB18" s="1062">
        <f>DATE(2021,2,1)</f>
        <v>44228</v>
      </c>
      <c r="AC18" s="1004"/>
      <c r="AD18" s="1004"/>
      <c r="AE18" s="1063">
        <f>DATE(2021,2,1)</f>
        <v>44228</v>
      </c>
      <c r="AF18" s="1038">
        <f>ROUND(+AF9/2,0)</f>
        <v>375</v>
      </c>
      <c r="AG18" s="979"/>
      <c r="AH18" s="979"/>
      <c r="AI18" s="1048"/>
      <c r="AJ18" s="1036">
        <f>IF($B$16=0,0,VLOOKUP($G$21,$G$8:$L$17,6)/$B$16)</f>
        <v>0</v>
      </c>
      <c r="AK18" s="979"/>
      <c r="AL18" s="1031">
        <f>IF($B$19=0,0,VLOOKUP($G$22,$G$18:$L$19,6)/$B$19)</f>
        <v>0</v>
      </c>
      <c r="AM18" s="979"/>
      <c r="AN18" s="977">
        <f>ROUND(V17/2,0)</f>
        <v>-4699</v>
      </c>
      <c r="AO18" s="1059" t="e">
        <f>CEILING(AN18,100)</f>
        <v>#NUM!</v>
      </c>
      <c r="AP18" s="979"/>
      <c r="AQ18" s="979"/>
      <c r="AR18" s="979"/>
      <c r="AS18" s="1015"/>
      <c r="AT18" s="1022" t="s">
        <v>3</v>
      </c>
      <c r="AU18" s="1022"/>
      <c r="AV18" s="1022"/>
      <c r="AW18" s="979"/>
      <c r="AX18" s="1065">
        <f>+AX16+AX17</f>
        <v>12400</v>
      </c>
      <c r="AY18" s="979"/>
      <c r="AZ18" s="979"/>
      <c r="BA18" s="979"/>
      <c r="BB18" s="1003">
        <v>51601</v>
      </c>
      <c r="BC18" s="1003">
        <v>6800</v>
      </c>
      <c r="BG18" s="979"/>
      <c r="BH18" s="979"/>
      <c r="BI18" s="1024"/>
      <c r="BL18" s="977">
        <f t="shared" si="12"/>
        <v>25800</v>
      </c>
      <c r="BM18" s="977">
        <f t="shared" si="12"/>
        <v>0</v>
      </c>
      <c r="BN18" s="977">
        <f t="shared" si="13"/>
        <v>25800</v>
      </c>
      <c r="BO18" s="977">
        <f t="shared" si="14"/>
        <v>2600</v>
      </c>
      <c r="BP18" s="977">
        <f t="shared" si="15"/>
        <v>500</v>
      </c>
      <c r="BR18" s="1003">
        <v>51601</v>
      </c>
      <c r="BS18" s="1003">
        <v>6800</v>
      </c>
      <c r="BY18" s="1025">
        <f t="shared" si="16"/>
        <v>11</v>
      </c>
      <c r="BZ18" s="1025">
        <v>125200</v>
      </c>
      <c r="CA18" s="1025"/>
      <c r="CB18" s="1025"/>
      <c r="CC18" s="1025">
        <f t="shared" si="7"/>
        <v>11</v>
      </c>
      <c r="CD18" s="1049">
        <v>219800</v>
      </c>
      <c r="CG18" s="980">
        <f t="shared" si="8"/>
        <v>11</v>
      </c>
      <c r="CH18" s="976">
        <v>8700</v>
      </c>
      <c r="CP18" s="1026">
        <f t="shared" si="9"/>
        <v>30200</v>
      </c>
      <c r="CQ18" s="977">
        <f t="shared" si="1"/>
        <v>906</v>
      </c>
      <c r="CR18" s="1006">
        <f t="shared" si="2"/>
        <v>900</v>
      </c>
    </row>
    <row r="19" spans="1:96" ht="18">
      <c r="A19" s="1366"/>
      <c r="B19" s="1359">
        <v>0</v>
      </c>
      <c r="C19" s="1354">
        <f t="shared" si="3"/>
        <v>14</v>
      </c>
      <c r="D19" s="1008">
        <f t="shared" si="4"/>
        <v>31100</v>
      </c>
      <c r="E19" s="1009">
        <f t="shared" si="5"/>
        <v>0</v>
      </c>
      <c r="F19" s="1218">
        <f t="shared" si="17"/>
        <v>0.31</v>
      </c>
      <c r="G19" s="1219">
        <f>DATE(2022,2,1)</f>
        <v>44593</v>
      </c>
      <c r="H19" s="1224">
        <f t="shared" si="22"/>
        <v>25800</v>
      </c>
      <c r="I19" s="1199"/>
      <c r="J19" s="1221">
        <f t="shared" si="18"/>
        <v>7998</v>
      </c>
      <c r="K19" s="1199">
        <f t="shared" si="10"/>
        <v>2600</v>
      </c>
      <c r="L19" s="1199">
        <f t="shared" si="10"/>
        <v>500</v>
      </c>
      <c r="M19" s="1199"/>
      <c r="N19" s="1222">
        <f t="shared" si="6"/>
        <v>36898</v>
      </c>
      <c r="O19" s="1199">
        <f>+O18</f>
        <v>0</v>
      </c>
      <c r="P19" s="1199">
        <f t="shared" si="11"/>
        <v>200</v>
      </c>
      <c r="Q19" s="1199">
        <f t="shared" si="11"/>
        <v>0</v>
      </c>
      <c r="R19" s="1199">
        <f t="shared" si="11"/>
        <v>0</v>
      </c>
      <c r="S19" s="1199">
        <f t="shared" si="11"/>
        <v>0</v>
      </c>
      <c r="T19" s="1199"/>
      <c r="U19" s="1225">
        <f>V18</f>
        <v>-9398</v>
      </c>
      <c r="V19" s="1223">
        <f t="shared" si="20"/>
        <v>0</v>
      </c>
      <c r="W19" s="1027">
        <f t="shared" si="21"/>
        <v>2</v>
      </c>
      <c r="AA19" s="1011">
        <v>3</v>
      </c>
      <c r="AB19" s="1066">
        <v>0</v>
      </c>
      <c r="AC19" s="1004"/>
      <c r="AD19" s="1004"/>
      <c r="AE19" s="991"/>
      <c r="AF19" s="1038"/>
      <c r="AG19" s="979"/>
      <c r="AH19" s="979"/>
      <c r="AI19" s="1048"/>
      <c r="AJ19" s="1004">
        <f>SUM(AJ14:AJ18)</f>
        <v>0</v>
      </c>
      <c r="AK19" s="979"/>
      <c r="AL19" s="1004">
        <f>SUM(AL14:AL18)</f>
        <v>0</v>
      </c>
      <c r="AM19" s="979"/>
      <c r="AN19" s="977">
        <f>ROUND(V18/1,0)</f>
        <v>-9398</v>
      </c>
      <c r="AO19" s="1059" t="e">
        <f>CEILING(AN19,100)</f>
        <v>#NUM!</v>
      </c>
      <c r="AP19" s="979"/>
      <c r="AQ19" s="979"/>
      <c r="AR19" s="979"/>
      <c r="AS19" s="1015">
        <v>10</v>
      </c>
      <c r="AT19" s="1022" t="str">
        <f>+H45</f>
        <v>SAVINGS TOTAL</v>
      </c>
      <c r="AU19" s="1022"/>
      <c r="AV19" s="1022"/>
      <c r="AW19" s="1022"/>
      <c r="AX19" s="1067">
        <f>+U45</f>
        <v>319250</v>
      </c>
      <c r="AY19" s="979"/>
      <c r="AZ19" s="979"/>
      <c r="BA19" s="979"/>
      <c r="BB19" s="1003">
        <v>54001</v>
      </c>
      <c r="BC19" s="1003">
        <v>7300</v>
      </c>
      <c r="BG19" s="979"/>
      <c r="BH19" s="979"/>
      <c r="BI19" s="1024"/>
      <c r="BL19" s="977">
        <f t="shared" si="12"/>
        <v>25800</v>
      </c>
      <c r="BM19" s="977">
        <f t="shared" si="12"/>
        <v>0</v>
      </c>
      <c r="BN19" s="977">
        <f t="shared" si="13"/>
        <v>25800</v>
      </c>
      <c r="BO19" s="977">
        <f t="shared" si="14"/>
        <v>2600</v>
      </c>
      <c r="BP19" s="977">
        <f t="shared" si="15"/>
        <v>500</v>
      </c>
      <c r="BR19" s="1003">
        <v>54001</v>
      </c>
      <c r="BS19" s="1003">
        <v>7300</v>
      </c>
      <c r="BY19" s="1025">
        <f t="shared" si="16"/>
        <v>12</v>
      </c>
      <c r="BZ19" s="1025">
        <v>36700</v>
      </c>
      <c r="CA19" s="1025"/>
      <c r="CB19" s="1025"/>
      <c r="CC19" s="1025">
        <f t="shared" si="7"/>
        <v>12</v>
      </c>
      <c r="CD19" s="1049">
        <v>116200</v>
      </c>
      <c r="CG19" s="980">
        <f t="shared" si="8"/>
        <v>12</v>
      </c>
      <c r="CH19" s="976">
        <v>4400</v>
      </c>
      <c r="CP19" s="1026">
        <f t="shared" si="9"/>
        <v>31100</v>
      </c>
      <c r="CQ19" s="977">
        <f t="shared" si="1"/>
        <v>933</v>
      </c>
      <c r="CR19" s="1006">
        <f t="shared" si="2"/>
        <v>900</v>
      </c>
    </row>
    <row r="20" spans="1:96" ht="18">
      <c r="A20" s="1369" t="s">
        <v>242</v>
      </c>
      <c r="B20" s="1453" t="s">
        <v>234</v>
      </c>
      <c r="C20" s="1354">
        <f t="shared" si="3"/>
        <v>15</v>
      </c>
      <c r="D20" s="1008">
        <f t="shared" si="4"/>
        <v>32000</v>
      </c>
      <c r="E20" s="1009">
        <f t="shared" si="5"/>
        <v>0</v>
      </c>
      <c r="F20" s="1226"/>
      <c r="G20" s="1227" t="s">
        <v>29</v>
      </c>
      <c r="H20" s="1199"/>
      <c r="I20" s="1199"/>
      <c r="J20" s="1199"/>
      <c r="K20" s="1199"/>
      <c r="L20" s="1199"/>
      <c r="M20" s="1199"/>
      <c r="N20" s="1222"/>
      <c r="O20" s="1199"/>
      <c r="P20" s="1199"/>
      <c r="Q20" s="1199"/>
      <c r="R20" s="1199"/>
      <c r="S20" s="1199"/>
      <c r="T20" s="1199"/>
      <c r="U20" s="1200"/>
      <c r="V20" s="1223"/>
      <c r="W20" s="991"/>
      <c r="AA20" s="1011">
        <v>4</v>
      </c>
      <c r="AB20" s="1066">
        <v>0</v>
      </c>
      <c r="AC20" s="1004"/>
      <c r="AD20" s="1004"/>
      <c r="AE20" s="1027"/>
      <c r="AF20" s="1068"/>
      <c r="AG20" s="979"/>
      <c r="AH20" s="979"/>
      <c r="AI20" s="1048"/>
      <c r="AJ20" s="979"/>
      <c r="AK20" s="979"/>
      <c r="AL20" s="979"/>
      <c r="AM20" s="979"/>
      <c r="AN20" s="1011">
        <v>0</v>
      </c>
      <c r="AO20" s="1011">
        <v>0</v>
      </c>
      <c r="AP20" s="979"/>
      <c r="AQ20" s="979"/>
      <c r="AR20" s="979"/>
      <c r="AS20" s="1015">
        <v>11</v>
      </c>
      <c r="AT20" s="1022" t="str">
        <f>+AX6</f>
        <v>UPTO RS.250000/= (   NIL  )</v>
      </c>
      <c r="AU20" s="1022"/>
      <c r="AV20" s="1022"/>
      <c r="AW20" s="1022"/>
      <c r="AX20" s="1064">
        <f>+AQ6</f>
        <v>250000</v>
      </c>
      <c r="AY20" s="979"/>
      <c r="AZ20" s="979"/>
      <c r="BA20" s="979"/>
      <c r="BB20" s="1003">
        <v>55501</v>
      </c>
      <c r="BC20" s="1003">
        <v>7500</v>
      </c>
      <c r="BG20" s="979"/>
      <c r="BH20" s="979"/>
      <c r="BI20" s="1024"/>
      <c r="BR20" s="1003">
        <v>55501</v>
      </c>
      <c r="BS20" s="1003">
        <v>7500</v>
      </c>
      <c r="BY20" s="1025">
        <f t="shared" si="16"/>
        <v>13</v>
      </c>
      <c r="BZ20" s="1025">
        <v>21300</v>
      </c>
      <c r="CA20" s="1025"/>
      <c r="CB20" s="1025"/>
      <c r="CC20" s="1025">
        <f t="shared" si="7"/>
        <v>13</v>
      </c>
      <c r="CD20" s="1049">
        <v>67800</v>
      </c>
      <c r="CG20" s="980">
        <f t="shared" si="8"/>
        <v>13</v>
      </c>
      <c r="CH20" s="976">
        <v>2900</v>
      </c>
      <c r="CP20" s="1026">
        <f t="shared" si="9"/>
        <v>32000</v>
      </c>
      <c r="CQ20" s="977">
        <f t="shared" si="1"/>
        <v>960</v>
      </c>
      <c r="CR20" s="1006">
        <f t="shared" si="2"/>
        <v>1000</v>
      </c>
    </row>
    <row r="21" spans="1:96" ht="18.75" thickBot="1">
      <c r="A21" s="1371" t="s">
        <v>282</v>
      </c>
      <c r="B21" s="1358" t="s">
        <v>234</v>
      </c>
      <c r="C21" s="1354">
        <f t="shared" si="3"/>
        <v>16</v>
      </c>
      <c r="D21" s="1008">
        <f t="shared" si="4"/>
        <v>33000</v>
      </c>
      <c r="E21" s="1009">
        <f t="shared" si="5"/>
        <v>0</v>
      </c>
      <c r="F21" s="1226"/>
      <c r="G21" s="1397" t="str">
        <f>IF($B$15=0," ",DATE(2021,$B$15,1))</f>
        <v> </v>
      </c>
      <c r="H21" s="1398"/>
      <c r="I21" s="1398"/>
      <c r="J21" s="1398"/>
      <c r="K21" s="1398"/>
      <c r="L21" s="1398"/>
      <c r="M21" s="1399"/>
      <c r="N21" s="1400">
        <f>+AJ19</f>
        <v>0</v>
      </c>
      <c r="O21" s="1199"/>
      <c r="P21" s="1199"/>
      <c r="Q21" s="1199"/>
      <c r="R21" s="1199"/>
      <c r="S21" s="1199"/>
      <c r="T21" s="1199"/>
      <c r="U21" s="1200"/>
      <c r="V21" s="1228"/>
      <c r="W21" s="1069"/>
      <c r="AA21" s="1011">
        <v>5</v>
      </c>
      <c r="AB21" s="1066">
        <v>0</v>
      </c>
      <c r="AC21" s="1004"/>
      <c r="AD21" s="1004"/>
      <c r="AE21" s="1027" t="s">
        <v>70</v>
      </c>
      <c r="AF21" s="1068">
        <v>0</v>
      </c>
      <c r="AG21" s="979"/>
      <c r="AH21" s="979"/>
      <c r="AI21" s="1048"/>
      <c r="AJ21" s="979"/>
      <c r="AK21" s="979"/>
      <c r="AL21" s="979"/>
      <c r="AM21" s="979"/>
      <c r="AN21" s="1011">
        <v>1</v>
      </c>
      <c r="AO21" s="1011">
        <f>U19</f>
        <v>-9398</v>
      </c>
      <c r="AP21" s="979"/>
      <c r="AQ21" s="979"/>
      <c r="AR21" s="979"/>
      <c r="AS21" s="1022"/>
      <c r="AT21" s="1022"/>
      <c r="AU21" s="1022"/>
      <c r="AV21" s="1022"/>
      <c r="AW21" s="1022"/>
      <c r="AX21" s="1065">
        <f>+AX19-AX20</f>
        <v>69250</v>
      </c>
      <c r="AY21" s="979"/>
      <c r="AZ21" s="979"/>
      <c r="BA21" s="979"/>
      <c r="BB21" s="1003">
        <v>56901</v>
      </c>
      <c r="BC21" s="1003">
        <v>7800</v>
      </c>
      <c r="BG21" s="979"/>
      <c r="BH21" s="979"/>
      <c r="BI21" s="1024"/>
      <c r="BR21" s="1003">
        <v>56901</v>
      </c>
      <c r="BS21" s="1003">
        <v>7800</v>
      </c>
      <c r="BY21" s="1025">
        <f t="shared" si="16"/>
        <v>14</v>
      </c>
      <c r="BZ21" s="1025">
        <v>127400</v>
      </c>
      <c r="CA21" s="1025"/>
      <c r="CB21" s="1025"/>
      <c r="CC21" s="1025">
        <f t="shared" si="7"/>
        <v>14</v>
      </c>
      <c r="CD21" s="1049">
        <v>223300</v>
      </c>
      <c r="CG21" s="980">
        <f t="shared" si="8"/>
        <v>14</v>
      </c>
      <c r="CH21" s="976">
        <v>9500</v>
      </c>
      <c r="CP21" s="1026">
        <f t="shared" si="9"/>
        <v>33000</v>
      </c>
      <c r="CQ21" s="977">
        <f t="shared" si="1"/>
        <v>990</v>
      </c>
      <c r="CR21" s="1006">
        <f t="shared" si="2"/>
        <v>1000</v>
      </c>
    </row>
    <row r="22" spans="1:96" ht="18.75" thickBot="1">
      <c r="A22" s="1372" t="s">
        <v>64</v>
      </c>
      <c r="B22" s="1359"/>
      <c r="C22" s="1354">
        <f t="shared" si="3"/>
        <v>17</v>
      </c>
      <c r="D22" s="1008">
        <f t="shared" si="4"/>
        <v>34000</v>
      </c>
      <c r="E22" s="1009">
        <f t="shared" si="5"/>
        <v>0</v>
      </c>
      <c r="F22" s="1229"/>
      <c r="G22" s="1401" t="str">
        <f>IF($B$18=0," ",DATE(2021,$B$18,1))</f>
        <v> </v>
      </c>
      <c r="H22" s="1402"/>
      <c r="I22" s="1402"/>
      <c r="J22" s="1402"/>
      <c r="K22" s="1402"/>
      <c r="L22" s="1402"/>
      <c r="M22" s="1403"/>
      <c r="N22" s="1404">
        <f>+AL19</f>
        <v>0</v>
      </c>
      <c r="O22" s="1230"/>
      <c r="P22" s="1230"/>
      <c r="Q22" s="1230"/>
      <c r="R22" s="1230"/>
      <c r="S22" s="1230"/>
      <c r="T22" s="1230"/>
      <c r="U22" s="1201"/>
      <c r="V22" s="1231"/>
      <c r="W22" s="1070"/>
      <c r="AA22" s="1011">
        <v>6</v>
      </c>
      <c r="AB22" s="1066">
        <v>0</v>
      </c>
      <c r="AC22" s="1004"/>
      <c r="AD22" s="1004"/>
      <c r="AE22" s="1027" t="s">
        <v>72</v>
      </c>
      <c r="AF22" s="1071">
        <v>8400</v>
      </c>
      <c r="AG22" s="979"/>
      <c r="AH22" s="979"/>
      <c r="AI22" s="1048"/>
      <c r="AJ22" s="979"/>
      <c r="AK22" s="979"/>
      <c r="AL22" s="979"/>
      <c r="AM22" s="979"/>
      <c r="AN22" s="1011">
        <v>2</v>
      </c>
      <c r="AO22" s="1072">
        <f>+U18+U19</f>
        <v>-9398</v>
      </c>
      <c r="AP22" s="979"/>
      <c r="AQ22" s="979"/>
      <c r="AR22" s="979"/>
      <c r="AS22" s="979"/>
      <c r="AT22" s="1488" t="str">
        <f>VLOOKUP(AO6,AW9:AX10,2)</f>
        <v>250001  TO  500000  5%</v>
      </c>
      <c r="AU22" s="1488"/>
      <c r="AV22" s="1488"/>
      <c r="AW22" s="1047">
        <f>VLOOKUP(AO6,AW12:AX13,2)</f>
        <v>69250</v>
      </c>
      <c r="AX22" s="1073">
        <f>ROUND(+AW22*10%,0)</f>
        <v>6925</v>
      </c>
      <c r="AY22" s="979"/>
      <c r="AZ22" s="979"/>
      <c r="BA22" s="979"/>
      <c r="BB22" s="1074">
        <v>64201</v>
      </c>
      <c r="BC22" s="1003">
        <v>8300</v>
      </c>
      <c r="BG22" s="979"/>
      <c r="BH22" s="979"/>
      <c r="BI22" s="1024"/>
      <c r="BR22" s="1074">
        <v>64201</v>
      </c>
      <c r="BS22" s="1003">
        <v>8300</v>
      </c>
      <c r="BY22" s="1025">
        <f t="shared" si="16"/>
        <v>15</v>
      </c>
      <c r="BZ22" s="1025">
        <v>16200</v>
      </c>
      <c r="CA22" s="1025"/>
      <c r="CB22" s="1025"/>
      <c r="CC22" s="1025">
        <f t="shared" si="7"/>
        <v>15</v>
      </c>
      <c r="CD22" s="1025">
        <v>51500</v>
      </c>
      <c r="CG22" s="980">
        <f t="shared" si="8"/>
        <v>15</v>
      </c>
      <c r="CH22" s="980">
        <v>1400</v>
      </c>
      <c r="CP22" s="1026">
        <f t="shared" si="9"/>
        <v>34000</v>
      </c>
      <c r="CQ22" s="977">
        <f t="shared" si="1"/>
        <v>1020</v>
      </c>
      <c r="CR22" s="1006">
        <f t="shared" si="2"/>
        <v>1000</v>
      </c>
    </row>
    <row r="23" spans="1:96" ht="18.75" thickBot="1">
      <c r="A23" s="1373">
        <f>+B5</f>
        <v>25000</v>
      </c>
      <c r="B23" s="1363" t="s">
        <v>68</v>
      </c>
      <c r="C23" s="1354">
        <f t="shared" si="3"/>
        <v>18</v>
      </c>
      <c r="D23" s="1008">
        <f t="shared" si="4"/>
        <v>35000</v>
      </c>
      <c r="E23" s="1009">
        <f t="shared" si="5"/>
        <v>0</v>
      </c>
      <c r="F23" s="1232"/>
      <c r="G23" s="1233" t="s">
        <v>3</v>
      </c>
      <c r="H23" s="1233">
        <f>SUM(H8:H19)</f>
        <v>308800</v>
      </c>
      <c r="I23" s="1233">
        <f>SUM(I8:I19)</f>
        <v>0</v>
      </c>
      <c r="J23" s="1233">
        <f>SUM(J8:J19)</f>
        <v>59720</v>
      </c>
      <c r="K23" s="1233">
        <f>SUM(K8:K19)</f>
        <v>31200</v>
      </c>
      <c r="L23" s="1233">
        <f>SUM(L8:L19)</f>
        <v>6000</v>
      </c>
      <c r="M23" s="1233"/>
      <c r="N23" s="1234">
        <f aca="true" t="shared" si="23" ref="N23:U23">SUM(N8:N22)</f>
        <v>405720</v>
      </c>
      <c r="O23" s="1233">
        <f t="shared" si="23"/>
        <v>0</v>
      </c>
      <c r="P23" s="1233">
        <f t="shared" si="23"/>
        <v>2400</v>
      </c>
      <c r="Q23" s="1233">
        <f t="shared" si="23"/>
        <v>0</v>
      </c>
      <c r="R23" s="1233">
        <f t="shared" si="23"/>
        <v>0</v>
      </c>
      <c r="S23" s="1233">
        <f t="shared" si="23"/>
        <v>0</v>
      </c>
      <c r="T23" s="1233">
        <f t="shared" si="23"/>
        <v>2500</v>
      </c>
      <c r="U23" s="1235">
        <f t="shared" si="23"/>
        <v>-9398</v>
      </c>
      <c r="V23" s="1236">
        <f>V7</f>
        <v>-9398</v>
      </c>
      <c r="W23" s="1075"/>
      <c r="AA23" s="1011">
        <v>7</v>
      </c>
      <c r="AB23" s="1066">
        <v>0</v>
      </c>
      <c r="AC23" s="1004"/>
      <c r="AD23" s="1004"/>
      <c r="AE23" s="1027" t="str">
        <f>+B25</f>
        <v>S</v>
      </c>
      <c r="AF23" s="1071">
        <f>VLOOKUP(+AE23,AE21:AF22,2)</f>
        <v>8400</v>
      </c>
      <c r="AG23" s="979"/>
      <c r="AH23" s="979"/>
      <c r="AI23" s="1033"/>
      <c r="AJ23" s="1034"/>
      <c r="AK23" s="1034"/>
      <c r="AL23" s="1034"/>
      <c r="AM23" s="1034"/>
      <c r="AN23" s="1011">
        <v>3</v>
      </c>
      <c r="AO23" s="1072">
        <f>+U17+U18+U19</f>
        <v>-9398</v>
      </c>
      <c r="AP23" s="1034"/>
      <c r="AQ23" s="1034"/>
      <c r="AR23" s="1034"/>
      <c r="AS23" s="1034"/>
      <c r="AT23" s="1022" t="s">
        <v>225</v>
      </c>
      <c r="AU23" s="1022"/>
      <c r="AV23" s="1022"/>
      <c r="AW23" s="1047">
        <f>IF(AX21&gt;500000,BH7,IF(AX21&lt;1000000,BH6,0))</f>
        <v>0</v>
      </c>
      <c r="AX23" s="1073">
        <f>ROUND(+AW23*20%,0)</f>
        <v>0</v>
      </c>
      <c r="AY23" s="1034"/>
      <c r="AZ23" s="1034"/>
      <c r="BA23" s="1034"/>
      <c r="BB23" s="1074">
        <v>64201</v>
      </c>
      <c r="BC23" s="1074">
        <v>8300</v>
      </c>
      <c r="BG23" s="1034"/>
      <c r="BH23" s="1034"/>
      <c r="BI23" s="1017"/>
      <c r="BR23" s="1074">
        <v>64201</v>
      </c>
      <c r="BS23" s="1074">
        <v>8300</v>
      </c>
      <c r="BY23" s="1025">
        <f t="shared" si="16"/>
        <v>16</v>
      </c>
      <c r="BZ23" s="1025">
        <v>4100</v>
      </c>
      <c r="CA23" s="1025"/>
      <c r="CB23" s="1025"/>
      <c r="CC23" s="1025">
        <f>+BY23</f>
        <v>16</v>
      </c>
      <c r="CD23" s="1049">
        <v>12500</v>
      </c>
      <c r="CG23" s="980">
        <f>+CC23</f>
        <v>16</v>
      </c>
      <c r="CH23" s="980">
        <v>300</v>
      </c>
      <c r="CP23" s="1026">
        <f t="shared" si="9"/>
        <v>35000</v>
      </c>
      <c r="CQ23" s="977">
        <f t="shared" si="1"/>
        <v>1050</v>
      </c>
      <c r="CR23" s="1006">
        <f t="shared" si="2"/>
        <v>1100</v>
      </c>
    </row>
    <row r="24" spans="1:96" ht="18">
      <c r="A24" s="1373">
        <f>+B4</f>
        <v>4</v>
      </c>
      <c r="B24" s="1364" t="s">
        <v>69</v>
      </c>
      <c r="C24" s="1354">
        <f t="shared" si="3"/>
        <v>19</v>
      </c>
      <c r="D24" s="1008">
        <f t="shared" si="4"/>
        <v>36100</v>
      </c>
      <c r="E24" s="1076">
        <f t="shared" si="5"/>
        <v>0</v>
      </c>
      <c r="G24" s="1237" t="s">
        <v>30</v>
      </c>
      <c r="H24" s="1238"/>
      <c r="I24" s="1238"/>
      <c r="J24" s="1238"/>
      <c r="K24" s="1238"/>
      <c r="L24" s="1238"/>
      <c r="M24" s="1239"/>
      <c r="N24" s="1240">
        <f>+AF23</f>
        <v>8400</v>
      </c>
      <c r="O24" s="1489" t="s">
        <v>443</v>
      </c>
      <c r="P24" s="1490"/>
      <c r="Q24" s="1490"/>
      <c r="R24" s="1490"/>
      <c r="S24" s="1490"/>
      <c r="T24" s="1490"/>
      <c r="U24" s="1491"/>
      <c r="AA24" s="1011">
        <v>8</v>
      </c>
      <c r="AB24" s="1066">
        <v>0</v>
      </c>
      <c r="AC24" s="1004"/>
      <c r="AD24" s="1004"/>
      <c r="AE24" s="979"/>
      <c r="AF24" s="1024"/>
      <c r="AG24" s="979"/>
      <c r="AH24" s="979"/>
      <c r="AI24" s="1048"/>
      <c r="AJ24" s="979"/>
      <c r="AK24" s="979"/>
      <c r="AL24" s="979"/>
      <c r="AM24" s="979"/>
      <c r="AN24" s="1011">
        <v>4</v>
      </c>
      <c r="AO24" s="1072">
        <f>U16+U17+U18+U19</f>
        <v>-9398</v>
      </c>
      <c r="AP24" s="979"/>
      <c r="AQ24" s="979"/>
      <c r="AR24" s="979"/>
      <c r="AS24" s="979"/>
      <c r="AT24" s="1022" t="s">
        <v>226</v>
      </c>
      <c r="AU24" s="1022"/>
      <c r="AV24" s="1022"/>
      <c r="AW24" s="1078">
        <f>IF(AX21&gt;1000000,+AZ26-BA26,IF(AX21&lt;1000000,+AX21-AW22-AW23,0))</f>
        <v>0</v>
      </c>
      <c r="AX24" s="1079">
        <f>ROUND(+AW24*30%,0)</f>
        <v>0</v>
      </c>
      <c r="AY24" s="979"/>
      <c r="AZ24" s="979"/>
      <c r="BA24" s="979"/>
      <c r="BB24" s="979"/>
      <c r="BC24" s="979"/>
      <c r="BD24" s="979"/>
      <c r="BE24" s="979"/>
      <c r="BF24" s="979"/>
      <c r="BG24" s="979"/>
      <c r="BH24" s="979"/>
      <c r="BI24" s="1024"/>
      <c r="CP24" s="1026">
        <f t="shared" si="9"/>
        <v>36100</v>
      </c>
      <c r="CQ24" s="977">
        <f t="shared" si="1"/>
        <v>1083</v>
      </c>
      <c r="CR24" s="1006">
        <f t="shared" si="2"/>
        <v>1100</v>
      </c>
    </row>
    <row r="25" spans="1:96" ht="18.75" thickBot="1">
      <c r="A25" s="1373">
        <f>+A23</f>
        <v>25000</v>
      </c>
      <c r="B25" s="1359" t="s">
        <v>72</v>
      </c>
      <c r="C25" s="1354">
        <f t="shared" si="3"/>
        <v>20</v>
      </c>
      <c r="D25" s="1008">
        <f t="shared" si="4"/>
        <v>37200</v>
      </c>
      <c r="E25" s="1076">
        <f t="shared" si="5"/>
        <v>0</v>
      </c>
      <c r="G25" s="1237" t="s">
        <v>102</v>
      </c>
      <c r="H25" s="1238"/>
      <c r="I25" s="1238"/>
      <c r="J25" s="1238"/>
      <c r="K25" s="1238"/>
      <c r="L25" s="1238"/>
      <c r="M25" s="1239"/>
      <c r="N25" s="1240">
        <v>0</v>
      </c>
      <c r="O25" s="1241"/>
      <c r="P25" s="1405" t="s">
        <v>239</v>
      </c>
      <c r="Q25" s="1405"/>
      <c r="R25" s="1405"/>
      <c r="S25" s="1405">
        <v>0</v>
      </c>
      <c r="T25" s="1203"/>
      <c r="U25" s="1242"/>
      <c r="AA25" s="1011">
        <v>9</v>
      </c>
      <c r="AB25" s="1066">
        <v>0</v>
      </c>
      <c r="AC25" s="1004"/>
      <c r="AD25" s="1004"/>
      <c r="AE25" s="979"/>
      <c r="AF25" s="1024"/>
      <c r="AG25" s="979"/>
      <c r="AH25" s="979"/>
      <c r="AI25" s="1048"/>
      <c r="AJ25" s="979"/>
      <c r="AK25" s="979"/>
      <c r="AL25" s="979"/>
      <c r="AM25" s="979"/>
      <c r="AN25" s="1011">
        <v>5</v>
      </c>
      <c r="AO25" s="1072">
        <f>U15+U16+U17+U18+U19</f>
        <v>-9398</v>
      </c>
      <c r="AP25" s="979"/>
      <c r="AQ25" s="979"/>
      <c r="AR25" s="979"/>
      <c r="AS25" s="979"/>
      <c r="AT25" s="979"/>
      <c r="AU25" s="979"/>
      <c r="AV25" s="979"/>
      <c r="AW25" s="1042">
        <f>SUM(AW22:AW24)</f>
        <v>69250</v>
      </c>
      <c r="AX25" s="1042">
        <f>SUM(AX22:AX24)</f>
        <v>6925</v>
      </c>
      <c r="AY25" s="979"/>
      <c r="AZ25" s="1080">
        <f>+AX21</f>
        <v>69250</v>
      </c>
      <c r="BA25" s="1042">
        <f>+AW22</f>
        <v>69250</v>
      </c>
      <c r="BB25" s="1042">
        <f>+AZ25-BA25</f>
        <v>0</v>
      </c>
      <c r="BC25" s="979"/>
      <c r="BD25" s="979"/>
      <c r="BE25" s="979"/>
      <c r="BF25" s="979"/>
      <c r="BG25" s="979"/>
      <c r="BH25" s="979"/>
      <c r="BI25" s="1024"/>
      <c r="CP25" s="1026">
        <f t="shared" si="9"/>
        <v>37200</v>
      </c>
      <c r="CQ25" s="977">
        <f t="shared" si="1"/>
        <v>1116</v>
      </c>
      <c r="CR25" s="1006">
        <f t="shared" si="2"/>
        <v>1100</v>
      </c>
    </row>
    <row r="26" spans="1:96" ht="18.75" thickBot="1">
      <c r="A26" s="1374">
        <f>ROUND(+A25*3/100,0)</f>
        <v>750</v>
      </c>
      <c r="B26" s="1358">
        <f>VLOOKUP(+B4,CG7:CH23,2)</f>
        <v>2800</v>
      </c>
      <c r="C26" s="1354">
        <f t="shared" si="3"/>
        <v>21</v>
      </c>
      <c r="D26" s="1008">
        <f t="shared" si="4"/>
        <v>38300</v>
      </c>
      <c r="E26" s="1076">
        <f t="shared" si="5"/>
        <v>0</v>
      </c>
      <c r="F26" s="1243"/>
      <c r="G26" s="1244" t="s">
        <v>444</v>
      </c>
      <c r="H26" s="1238"/>
      <c r="I26" s="1238"/>
      <c r="J26" s="1238"/>
      <c r="K26" s="1238"/>
      <c r="L26" s="1238"/>
      <c r="M26" s="1239"/>
      <c r="N26" s="1240">
        <v>4500</v>
      </c>
      <c r="O26" s="1241"/>
      <c r="P26" s="1405" t="s">
        <v>240</v>
      </c>
      <c r="Q26" s="1405"/>
      <c r="R26" s="1405"/>
      <c r="S26" s="1406">
        <v>0</v>
      </c>
      <c r="T26" s="1203"/>
      <c r="U26" s="1242"/>
      <c r="AA26" s="1011">
        <v>10</v>
      </c>
      <c r="AB26" s="1066">
        <v>0</v>
      </c>
      <c r="AC26" s="1004"/>
      <c r="AD26" s="1004"/>
      <c r="AE26" s="979"/>
      <c r="AF26" s="1024"/>
      <c r="AG26" s="979"/>
      <c r="AH26" s="979"/>
      <c r="AI26" s="1048"/>
      <c r="AJ26" s="979"/>
      <c r="AK26" s="979"/>
      <c r="AL26" s="979"/>
      <c r="AM26" s="979"/>
      <c r="AN26" s="979"/>
      <c r="AO26" s="979"/>
      <c r="AP26" s="979"/>
      <c r="AQ26" s="979"/>
      <c r="AR26" s="1081">
        <v>0</v>
      </c>
      <c r="AS26" s="994">
        <v>0</v>
      </c>
      <c r="AT26" s="979"/>
      <c r="AU26" s="1081">
        <v>0</v>
      </c>
      <c r="AV26" s="994">
        <v>0</v>
      </c>
      <c r="AW26" s="979"/>
      <c r="AX26" s="1081">
        <v>0</v>
      </c>
      <c r="AY26" s="994">
        <v>0</v>
      </c>
      <c r="AZ26" s="1080">
        <f>+BB25</f>
        <v>0</v>
      </c>
      <c r="BA26" s="1042">
        <f>+AW23</f>
        <v>0</v>
      </c>
      <c r="BB26" s="1042">
        <f>+AZ26-BA26</f>
        <v>0</v>
      </c>
      <c r="BC26" s="979"/>
      <c r="BD26" s="1081">
        <v>0</v>
      </c>
      <c r="BE26" s="994">
        <v>0</v>
      </c>
      <c r="BF26" s="979"/>
      <c r="BG26" s="979"/>
      <c r="BH26" s="979"/>
      <c r="BI26" s="1024"/>
      <c r="BL26" s="1082"/>
      <c r="BM26" s="1083"/>
      <c r="CP26" s="1026">
        <f t="shared" si="9"/>
        <v>38300</v>
      </c>
      <c r="CQ26" s="977">
        <f t="shared" si="1"/>
        <v>1149</v>
      </c>
      <c r="CR26" s="1006">
        <f t="shared" si="2"/>
        <v>1100</v>
      </c>
    </row>
    <row r="27" spans="1:96" ht="18.75" thickBot="1">
      <c r="A27" s="1375">
        <f>FLOOR(+A26+50,100)</f>
        <v>800</v>
      </c>
      <c r="B27" s="1359"/>
      <c r="C27" s="1354">
        <f t="shared" si="3"/>
        <v>22</v>
      </c>
      <c r="D27" s="1008">
        <f t="shared" si="4"/>
        <v>39400</v>
      </c>
      <c r="E27" s="1076">
        <f t="shared" si="5"/>
        <v>0</v>
      </c>
      <c r="G27" s="1237" t="s">
        <v>31</v>
      </c>
      <c r="H27" s="1238"/>
      <c r="I27" s="1238"/>
      <c r="J27" s="1238"/>
      <c r="K27" s="1238"/>
      <c r="L27" s="1238"/>
      <c r="M27" s="1239"/>
      <c r="N27" s="1240">
        <v>0</v>
      </c>
      <c r="O27" s="1241"/>
      <c r="P27" s="1238" t="s">
        <v>3</v>
      </c>
      <c r="Q27" s="1238"/>
      <c r="R27" s="1238"/>
      <c r="S27" s="1238">
        <f>+S25+S26</f>
        <v>0</v>
      </c>
      <c r="T27" s="1203"/>
      <c r="U27" s="1242"/>
      <c r="AA27" s="1011">
        <v>11</v>
      </c>
      <c r="AB27" s="1066">
        <v>0</v>
      </c>
      <c r="AC27" s="1004"/>
      <c r="AD27" s="1004"/>
      <c r="AE27" s="979"/>
      <c r="AF27" s="1024"/>
      <c r="AG27" s="979"/>
      <c r="AH27" s="979"/>
      <c r="AI27" s="1048"/>
      <c r="AJ27" s="979"/>
      <c r="AK27" s="979"/>
      <c r="AL27" s="979"/>
      <c r="AM27" s="1084" t="s">
        <v>232</v>
      </c>
      <c r="AN27" s="979"/>
      <c r="AO27" s="979"/>
      <c r="AP27" s="979"/>
      <c r="AQ27" s="979"/>
      <c r="AR27" s="1037">
        <v>1</v>
      </c>
      <c r="AS27" s="1038">
        <f>+S29</f>
        <v>0</v>
      </c>
      <c r="AT27" s="979"/>
      <c r="AU27" s="1037">
        <v>15001</v>
      </c>
      <c r="AV27" s="1038">
        <v>15000</v>
      </c>
      <c r="AW27" s="979"/>
      <c r="AX27" s="1037">
        <v>1</v>
      </c>
      <c r="AY27" s="1038">
        <v>300000</v>
      </c>
      <c r="AZ27" s="1085"/>
      <c r="BA27" s="979"/>
      <c r="BB27" s="979"/>
      <c r="BC27" s="979"/>
      <c r="BD27" s="1037">
        <v>250000</v>
      </c>
      <c r="BE27" s="1038">
        <f>+H37</f>
        <v>0</v>
      </c>
      <c r="BF27" s="979"/>
      <c r="BG27" s="979"/>
      <c r="BH27" s="979"/>
      <c r="BI27" s="1024"/>
      <c r="BL27" s="1007">
        <v>3</v>
      </c>
      <c r="BM27" s="1038">
        <v>180</v>
      </c>
      <c r="CP27" s="1026">
        <f t="shared" si="9"/>
        <v>39400</v>
      </c>
      <c r="CQ27" s="977">
        <f t="shared" si="1"/>
        <v>1182</v>
      </c>
      <c r="CR27" s="1006">
        <f t="shared" si="2"/>
        <v>1200</v>
      </c>
    </row>
    <row r="28" spans="1:96" ht="18.75" thickBot="1">
      <c r="A28" s="1376">
        <f>+A23+A27</f>
        <v>25800</v>
      </c>
      <c r="B28" s="1365"/>
      <c r="C28" s="1354">
        <f t="shared" si="3"/>
        <v>23</v>
      </c>
      <c r="D28" s="1008">
        <f t="shared" si="4"/>
        <v>40600</v>
      </c>
      <c r="E28" s="1076">
        <f t="shared" si="5"/>
        <v>0</v>
      </c>
      <c r="G28" s="1237" t="s">
        <v>390</v>
      </c>
      <c r="H28" s="1238"/>
      <c r="I28" s="1238"/>
      <c r="J28" s="1238"/>
      <c r="K28" s="1238"/>
      <c r="L28" s="1238"/>
      <c r="M28" s="1239"/>
      <c r="N28" s="1240">
        <v>0</v>
      </c>
      <c r="O28" s="1241"/>
      <c r="P28" s="1238" t="s">
        <v>241</v>
      </c>
      <c r="Q28" s="1238"/>
      <c r="R28" s="1238"/>
      <c r="S28" s="1245">
        <f>+AY29</f>
        <v>0</v>
      </c>
      <c r="T28" s="1203"/>
      <c r="U28" s="1242"/>
      <c r="AA28" s="1011">
        <v>12</v>
      </c>
      <c r="AB28" s="1066">
        <v>0</v>
      </c>
      <c r="AC28" s="1004"/>
      <c r="AD28" s="1004"/>
      <c r="AE28" s="1034"/>
      <c r="AF28" s="1017"/>
      <c r="AG28" s="979"/>
      <c r="AH28" s="979"/>
      <c r="AI28" s="1048"/>
      <c r="AJ28" s="979"/>
      <c r="AK28" s="979"/>
      <c r="AL28" s="1011" t="str">
        <f>B11</f>
        <v>Y</v>
      </c>
      <c r="AM28" s="1086" t="s">
        <v>235</v>
      </c>
      <c r="AN28" s="1011">
        <v>0</v>
      </c>
      <c r="AO28" s="1011">
        <f>VLOOKUP(+AL28,AM28:AN29,2)</f>
        <v>31200</v>
      </c>
      <c r="AP28" s="979"/>
      <c r="AQ28" s="979"/>
      <c r="AR28" s="1087"/>
      <c r="AS28" s="1088"/>
      <c r="AT28" s="979"/>
      <c r="AU28" s="1087"/>
      <c r="AV28" s="1088"/>
      <c r="AW28" s="979"/>
      <c r="AX28" s="1087"/>
      <c r="AY28" s="1088"/>
      <c r="AZ28" s="1085"/>
      <c r="BA28" s="979"/>
      <c r="BB28" s="979"/>
      <c r="BC28" s="979"/>
      <c r="BD28" s="1037">
        <v>250001</v>
      </c>
      <c r="BE28" s="1038">
        <v>250000</v>
      </c>
      <c r="BF28" s="979"/>
      <c r="BG28" s="979"/>
      <c r="BH28" s="979"/>
      <c r="BI28" s="1024"/>
      <c r="BL28" s="1007">
        <f>+BL27+1</f>
        <v>4</v>
      </c>
      <c r="BM28" s="1038">
        <v>180</v>
      </c>
      <c r="CP28" s="1026">
        <f t="shared" si="9"/>
        <v>40600</v>
      </c>
      <c r="CQ28" s="977">
        <f t="shared" si="1"/>
        <v>1218</v>
      </c>
      <c r="CR28" s="1006">
        <f t="shared" si="2"/>
        <v>1200</v>
      </c>
    </row>
    <row r="29" spans="1:96" ht="18.75" thickBot="1">
      <c r="A29" s="1377"/>
      <c r="C29" s="1007">
        <f t="shared" si="3"/>
        <v>24</v>
      </c>
      <c r="D29" s="1008">
        <f t="shared" si="4"/>
        <v>41800</v>
      </c>
      <c r="E29" s="1076">
        <f t="shared" si="5"/>
        <v>0</v>
      </c>
      <c r="G29" s="1246" t="s">
        <v>3</v>
      </c>
      <c r="H29" s="1247">
        <f>+H23</f>
        <v>308800</v>
      </c>
      <c r="I29" s="1247">
        <f>+I23</f>
        <v>0</v>
      </c>
      <c r="J29" s="1247">
        <f>+J23</f>
        <v>59720</v>
      </c>
      <c r="K29" s="1247">
        <f>+K23</f>
        <v>31200</v>
      </c>
      <c r="L29" s="1247">
        <f>+L23</f>
        <v>6000</v>
      </c>
      <c r="M29" s="1248"/>
      <c r="N29" s="1249">
        <f>SUM(N23:N28)</f>
        <v>418620</v>
      </c>
      <c r="O29" s="1250"/>
      <c r="P29" s="1251" t="s">
        <v>48</v>
      </c>
      <c r="Q29" s="1251"/>
      <c r="R29" s="1251"/>
      <c r="S29" s="1251">
        <f>+S27-S28</f>
        <v>0</v>
      </c>
      <c r="T29" s="1252">
        <f>IF(S27&gt;300000,S29,IF(S27&lt;300000,0,0))</f>
        <v>0</v>
      </c>
      <c r="U29" s="1253"/>
      <c r="AA29" s="1048"/>
      <c r="AB29" s="979"/>
      <c r="AC29" s="979"/>
      <c r="AD29" s="979"/>
      <c r="AE29" s="979"/>
      <c r="AF29" s="1089"/>
      <c r="AG29" s="1030"/>
      <c r="AH29" s="979"/>
      <c r="AI29" s="1048"/>
      <c r="AJ29" s="979"/>
      <c r="AK29" s="979"/>
      <c r="AL29" s="1011"/>
      <c r="AM29" s="1011" t="s">
        <v>234</v>
      </c>
      <c r="AN29" s="1090">
        <f>+B14</f>
        <v>31200</v>
      </c>
      <c r="AO29" s="1011"/>
      <c r="AP29" s="979"/>
      <c r="AQ29" s="979"/>
      <c r="AR29" s="1091"/>
      <c r="AS29" s="1092">
        <f>VLOOKUP(+S29,AR26:AS28,2)</f>
        <v>0</v>
      </c>
      <c r="AT29" s="979"/>
      <c r="AU29" s="1091"/>
      <c r="AV29" s="1092">
        <f>VLOOKUP(H39,AU26:AV28,2)</f>
        <v>0</v>
      </c>
      <c r="AW29" s="979"/>
      <c r="AX29" s="1091"/>
      <c r="AY29" s="1092">
        <f>VLOOKUP(S27,AX26:AY28,2)</f>
        <v>0</v>
      </c>
      <c r="AZ29" s="1085"/>
      <c r="BA29" s="979"/>
      <c r="BB29" s="979"/>
      <c r="BC29" s="979"/>
      <c r="BD29" s="1091"/>
      <c r="BE29" s="1092">
        <f>VLOOKUP(H37,BD26:BE28,2)</f>
        <v>0</v>
      </c>
      <c r="BF29" s="979"/>
      <c r="BG29" s="979"/>
      <c r="BH29" s="979"/>
      <c r="BI29" s="1024"/>
      <c r="BL29" s="1007">
        <f aca="true" t="shared" si="24" ref="BL29:BL36">+BL28+1</f>
        <v>5</v>
      </c>
      <c r="BM29" s="1038">
        <v>180</v>
      </c>
      <c r="CP29" s="1026">
        <f t="shared" si="9"/>
        <v>41800</v>
      </c>
      <c r="CQ29" s="977">
        <f t="shared" si="1"/>
        <v>1254</v>
      </c>
      <c r="CR29" s="1006">
        <f t="shared" si="2"/>
        <v>1300</v>
      </c>
    </row>
    <row r="30" spans="1:96" ht="14.25" customHeight="1" thickBot="1">
      <c r="A30" s="1378"/>
      <c r="C30" s="1007">
        <f t="shared" si="3"/>
        <v>25</v>
      </c>
      <c r="D30" s="1008">
        <f t="shared" si="4"/>
        <v>43100</v>
      </c>
      <c r="E30" s="1076">
        <f t="shared" si="5"/>
        <v>0</v>
      </c>
      <c r="G30" s="1455"/>
      <c r="H30" s="1492" t="s">
        <v>281</v>
      </c>
      <c r="I30" s="1492"/>
      <c r="J30" s="1492"/>
      <c r="K30" s="1492"/>
      <c r="L30" s="1492"/>
      <c r="M30" s="1492"/>
      <c r="N30" s="1254">
        <f>+AO32</f>
        <v>1110</v>
      </c>
      <c r="O30" s="1255"/>
      <c r="P30" s="1256">
        <v>9</v>
      </c>
      <c r="Q30" s="1493" t="s">
        <v>32</v>
      </c>
      <c r="R30" s="1494"/>
      <c r="S30" s="1494"/>
      <c r="T30" s="1495"/>
      <c r="U30" s="1257"/>
      <c r="AG30" s="979"/>
      <c r="AH30" s="1030"/>
      <c r="AI30" s="979"/>
      <c r="AJ30" s="979"/>
      <c r="BL30" s="1007">
        <f t="shared" si="24"/>
        <v>6</v>
      </c>
      <c r="BM30" s="1038">
        <v>180</v>
      </c>
      <c r="CP30" s="1026">
        <f t="shared" si="9"/>
        <v>43100</v>
      </c>
      <c r="CQ30" s="977">
        <f t="shared" si="1"/>
        <v>1293</v>
      </c>
      <c r="CR30" s="1006">
        <f t="shared" si="2"/>
        <v>1300</v>
      </c>
    </row>
    <row r="31" spans="3:96" ht="18">
      <c r="C31" s="1007">
        <f>+C30+1</f>
        <v>26</v>
      </c>
      <c r="D31" s="1008">
        <f t="shared" si="4"/>
        <v>44400</v>
      </c>
      <c r="E31" s="1076">
        <f t="shared" si="5"/>
        <v>0</v>
      </c>
      <c r="G31" s="1258">
        <v>1</v>
      </c>
      <c r="H31" s="1496" t="s">
        <v>33</v>
      </c>
      <c r="I31" s="1497"/>
      <c r="J31" s="1497"/>
      <c r="K31" s="1497"/>
      <c r="L31" s="1497"/>
      <c r="M31" s="1498"/>
      <c r="N31" s="1259">
        <f>ROUND(+N29,0)+T29-N30</f>
        <v>417510</v>
      </c>
      <c r="O31" s="1260"/>
      <c r="P31" s="1261">
        <v>1</v>
      </c>
      <c r="Q31" s="1499" t="s">
        <v>73</v>
      </c>
      <c r="R31" s="1500"/>
      <c r="S31" s="1501"/>
      <c r="T31" s="1262" t="s">
        <v>36</v>
      </c>
      <c r="U31" s="1263">
        <f>+O23</f>
        <v>0</v>
      </c>
      <c r="AG31" s="1022"/>
      <c r="AH31" s="1093"/>
      <c r="AI31" s="979"/>
      <c r="AJ31" s="979"/>
      <c r="AL31" s="979"/>
      <c r="AM31" s="1084" t="s">
        <v>282</v>
      </c>
      <c r="AN31" s="979"/>
      <c r="AO31" s="979"/>
      <c r="AP31" s="979"/>
      <c r="BL31" s="1007">
        <f t="shared" si="24"/>
        <v>7</v>
      </c>
      <c r="BM31" s="1038">
        <v>180</v>
      </c>
      <c r="CP31" s="1026">
        <f t="shared" si="9"/>
        <v>44400</v>
      </c>
      <c r="CQ31" s="977">
        <f t="shared" si="1"/>
        <v>1332</v>
      </c>
      <c r="CR31" s="1006">
        <f t="shared" si="2"/>
        <v>1300</v>
      </c>
    </row>
    <row r="32" spans="1:96" ht="18.75" thickBot="1">
      <c r="A32" s="1380"/>
      <c r="C32" s="1007">
        <f t="shared" si="3"/>
        <v>27</v>
      </c>
      <c r="D32" s="1008">
        <f t="shared" si="4"/>
        <v>45700</v>
      </c>
      <c r="E32" s="1076">
        <f t="shared" si="5"/>
        <v>0</v>
      </c>
      <c r="G32" s="1264">
        <v>2</v>
      </c>
      <c r="H32" s="1502" t="s">
        <v>34</v>
      </c>
      <c r="I32" s="1503"/>
      <c r="J32" s="1503"/>
      <c r="K32" s="1503"/>
      <c r="L32" s="1503"/>
      <c r="M32" s="1395" t="s">
        <v>35</v>
      </c>
      <c r="N32" s="1396">
        <f>AO28</f>
        <v>31200</v>
      </c>
      <c r="O32" s="1260"/>
      <c r="P32" s="1261">
        <v>2</v>
      </c>
      <c r="Q32" s="1504" t="s">
        <v>272</v>
      </c>
      <c r="R32" s="1505"/>
      <c r="S32" s="1506"/>
      <c r="T32" s="1409" t="s">
        <v>36</v>
      </c>
      <c r="U32" s="1410">
        <v>10000</v>
      </c>
      <c r="AG32" s="979"/>
      <c r="AH32" s="979"/>
      <c r="AI32" s="979"/>
      <c r="AJ32" s="979"/>
      <c r="AL32" s="1011" t="str">
        <f>+B21</f>
        <v>Y</v>
      </c>
      <c r="AM32" s="1086" t="s">
        <v>235</v>
      </c>
      <c r="AN32" s="1011">
        <v>0</v>
      </c>
      <c r="AO32" s="1011">
        <f>VLOOKUP(+AL32,AM32:AN33,2)</f>
        <v>1110</v>
      </c>
      <c r="AP32" s="979"/>
      <c r="BL32" s="1007">
        <f t="shared" si="24"/>
        <v>8</v>
      </c>
      <c r="BM32" s="1038">
        <v>180</v>
      </c>
      <c r="CP32" s="1026">
        <f t="shared" si="9"/>
        <v>45700</v>
      </c>
      <c r="CQ32" s="977">
        <f t="shared" si="1"/>
        <v>1371</v>
      </c>
      <c r="CR32" s="1006">
        <f t="shared" si="2"/>
        <v>1400</v>
      </c>
    </row>
    <row r="33" spans="3:96" ht="18" customHeight="1" hidden="1">
      <c r="C33" s="1007">
        <f t="shared" si="3"/>
        <v>28</v>
      </c>
      <c r="D33" s="1008">
        <f t="shared" si="4"/>
        <v>47100</v>
      </c>
      <c r="E33" s="1076">
        <f t="shared" si="5"/>
        <v>0</v>
      </c>
      <c r="G33" s="1264"/>
      <c r="H33" s="1507"/>
      <c r="I33" s="1508"/>
      <c r="J33" s="1508"/>
      <c r="K33" s="1508"/>
      <c r="L33" s="1508"/>
      <c r="M33" s="1509"/>
      <c r="N33" s="1259">
        <f>+N31-N32</f>
        <v>386310</v>
      </c>
      <c r="O33" s="1260"/>
      <c r="P33" s="1261">
        <v>3</v>
      </c>
      <c r="Q33" s="1499" t="s">
        <v>74</v>
      </c>
      <c r="R33" s="1500"/>
      <c r="S33" s="1501"/>
      <c r="T33" s="1262" t="s">
        <v>36</v>
      </c>
      <c r="U33" s="1263">
        <f>+P23</f>
        <v>2400</v>
      </c>
      <c r="AL33" s="1011"/>
      <c r="AM33" s="1011" t="s">
        <v>234</v>
      </c>
      <c r="AN33" s="1011">
        <f>ROUND(+AR35/30,0)</f>
        <v>1110</v>
      </c>
      <c r="AO33" s="1011"/>
      <c r="AP33" s="979"/>
      <c r="BL33" s="1007">
        <f t="shared" si="24"/>
        <v>9</v>
      </c>
      <c r="BM33" s="1038">
        <v>180</v>
      </c>
      <c r="CP33" s="1026">
        <f t="shared" si="9"/>
        <v>47100</v>
      </c>
      <c r="CQ33" s="977">
        <f t="shared" si="1"/>
        <v>1413</v>
      </c>
      <c r="CR33" s="1006">
        <f t="shared" si="2"/>
        <v>1400</v>
      </c>
    </row>
    <row r="34" spans="3:96" ht="18.75" thickBot="1">
      <c r="C34" s="1007">
        <f t="shared" si="3"/>
        <v>29</v>
      </c>
      <c r="D34" s="1008">
        <f t="shared" si="4"/>
        <v>48500</v>
      </c>
      <c r="E34" s="1076">
        <f t="shared" si="5"/>
        <v>0</v>
      </c>
      <c r="G34" s="1264">
        <v>3</v>
      </c>
      <c r="H34" s="1502" t="s">
        <v>271</v>
      </c>
      <c r="I34" s="1503"/>
      <c r="J34" s="1503"/>
      <c r="K34" s="1503"/>
      <c r="L34" s="1503"/>
      <c r="M34" s="1395" t="s">
        <v>35</v>
      </c>
      <c r="N34" s="1396">
        <f>+L35</f>
        <v>4660</v>
      </c>
      <c r="O34" s="1260"/>
      <c r="P34" s="1261">
        <v>4</v>
      </c>
      <c r="Q34" s="1504" t="s">
        <v>75</v>
      </c>
      <c r="R34" s="1505"/>
      <c r="S34" s="1506"/>
      <c r="T34" s="1409" t="s">
        <v>36</v>
      </c>
      <c r="U34" s="1410">
        <v>0</v>
      </c>
      <c r="BL34" s="1007">
        <f t="shared" si="24"/>
        <v>10</v>
      </c>
      <c r="BM34" s="1038">
        <v>180</v>
      </c>
      <c r="CP34" s="1026">
        <f t="shared" si="9"/>
        <v>48500</v>
      </c>
      <c r="CQ34" s="977">
        <f t="shared" si="1"/>
        <v>1455</v>
      </c>
      <c r="CR34" s="1006">
        <f t="shared" si="2"/>
        <v>1500</v>
      </c>
    </row>
    <row r="35" spans="3:96" ht="18">
      <c r="C35" s="1007">
        <f t="shared" si="3"/>
        <v>30</v>
      </c>
      <c r="D35" s="1008">
        <f t="shared" si="4"/>
        <v>50000</v>
      </c>
      <c r="E35" s="1076">
        <f t="shared" si="5"/>
        <v>0</v>
      </c>
      <c r="G35" s="1264"/>
      <c r="H35" s="1262" t="s">
        <v>4</v>
      </c>
      <c r="I35" s="1267">
        <f>+T23</f>
        <v>2500</v>
      </c>
      <c r="J35" s="1262" t="s">
        <v>394</v>
      </c>
      <c r="K35" s="1267">
        <f>+BM39</f>
        <v>2160</v>
      </c>
      <c r="L35" s="1510">
        <f>+I35+K35</f>
        <v>4660</v>
      </c>
      <c r="M35" s="1511"/>
      <c r="N35" s="1259">
        <f>+N33-N34</f>
        <v>381650</v>
      </c>
      <c r="O35" s="1260"/>
      <c r="P35" s="1261">
        <v>5</v>
      </c>
      <c r="Q35" s="1499" t="s">
        <v>76</v>
      </c>
      <c r="R35" s="1500"/>
      <c r="S35" s="1501"/>
      <c r="T35" s="1262" t="s">
        <v>36</v>
      </c>
      <c r="U35" s="1263">
        <f>+Q23</f>
        <v>0</v>
      </c>
      <c r="AK35" s="1094">
        <v>1.25</v>
      </c>
      <c r="AL35" s="1004">
        <f>+H14</f>
        <v>25800</v>
      </c>
      <c r="AM35" s="1004">
        <f>+I14</f>
        <v>0</v>
      </c>
      <c r="AN35" s="1004">
        <f>+AU35</f>
        <v>323</v>
      </c>
      <c r="AO35" s="1004">
        <f>+K14</f>
        <v>2600</v>
      </c>
      <c r="AP35" s="1004">
        <f>+L14</f>
        <v>500</v>
      </c>
      <c r="AQ35" s="1004">
        <f>+M14</f>
        <v>0</v>
      </c>
      <c r="AR35" s="1004">
        <f>+N14</f>
        <v>33286</v>
      </c>
      <c r="AS35" s="1004"/>
      <c r="AT35" s="1004">
        <f>+AL35+AM35</f>
        <v>25800</v>
      </c>
      <c r="AU35" s="1004">
        <f>ROUND(+AT35*+AK35/100,0)</f>
        <v>323</v>
      </c>
      <c r="BL35" s="1007">
        <f t="shared" si="24"/>
        <v>11</v>
      </c>
      <c r="BM35" s="1038">
        <v>180</v>
      </c>
      <c r="CP35" s="1026">
        <f t="shared" si="9"/>
        <v>50000</v>
      </c>
      <c r="CQ35" s="977">
        <f t="shared" si="1"/>
        <v>1500</v>
      </c>
      <c r="CR35" s="1006">
        <f t="shared" si="2"/>
        <v>1500</v>
      </c>
    </row>
    <row r="36" spans="3:96" ht="18.75" thickBot="1">
      <c r="C36" s="1007">
        <f t="shared" si="3"/>
        <v>31</v>
      </c>
      <c r="D36" s="1008">
        <f t="shared" si="4"/>
        <v>51500</v>
      </c>
      <c r="E36" s="1076">
        <f t="shared" si="5"/>
        <v>0</v>
      </c>
      <c r="G36" s="1264">
        <v>4</v>
      </c>
      <c r="H36" s="1502" t="s">
        <v>37</v>
      </c>
      <c r="I36" s="1503"/>
      <c r="J36" s="1503"/>
      <c r="K36" s="1503"/>
      <c r="L36" s="1503"/>
      <c r="M36" s="1395" t="s">
        <v>35</v>
      </c>
      <c r="N36" s="1407">
        <f>IF(H37&gt;200000,200000,IF(H37&lt;200000,H37,0))</f>
        <v>0</v>
      </c>
      <c r="O36" s="1260"/>
      <c r="P36" s="1261">
        <v>8</v>
      </c>
      <c r="Q36" s="1268" t="s">
        <v>77</v>
      </c>
      <c r="R36" s="1269"/>
      <c r="S36" s="1270"/>
      <c r="T36" s="1262" t="s">
        <v>36</v>
      </c>
      <c r="U36" s="1263">
        <f>+R23</f>
        <v>0</v>
      </c>
      <c r="W36" s="1003"/>
      <c r="BL36" s="1007">
        <f t="shared" si="24"/>
        <v>12</v>
      </c>
      <c r="BM36" s="1038">
        <v>180</v>
      </c>
      <c r="CP36" s="1026">
        <f t="shared" si="9"/>
        <v>51500</v>
      </c>
      <c r="CQ36" s="977">
        <f t="shared" si="1"/>
        <v>1545</v>
      </c>
      <c r="CR36" s="1006">
        <f t="shared" si="2"/>
        <v>1500</v>
      </c>
    </row>
    <row r="37" spans="3:96" ht="18">
      <c r="C37" s="1007">
        <f t="shared" si="3"/>
        <v>32</v>
      </c>
      <c r="D37" s="1008">
        <f t="shared" si="4"/>
        <v>53000</v>
      </c>
      <c r="E37" s="1076">
        <f t="shared" si="5"/>
        <v>0</v>
      </c>
      <c r="G37" s="1264"/>
      <c r="H37" s="1512">
        <v>0</v>
      </c>
      <c r="I37" s="1513"/>
      <c r="J37" s="1514"/>
      <c r="K37" s="1515"/>
      <c r="L37" s="1515"/>
      <c r="M37" s="1516"/>
      <c r="N37" s="1408">
        <f>+N35-N36</f>
        <v>381650</v>
      </c>
      <c r="O37" s="1260"/>
      <c r="P37" s="1261">
        <v>7</v>
      </c>
      <c r="Q37" s="1504" t="s">
        <v>78</v>
      </c>
      <c r="R37" s="1505"/>
      <c r="S37" s="1506"/>
      <c r="T37" s="1409" t="s">
        <v>36</v>
      </c>
      <c r="U37" s="1410">
        <v>0</v>
      </c>
      <c r="W37" s="1003"/>
      <c r="BL37" s="1007">
        <v>1</v>
      </c>
      <c r="BM37" s="1038">
        <v>180</v>
      </c>
      <c r="CP37" s="1026">
        <f t="shared" si="9"/>
        <v>53000</v>
      </c>
      <c r="CQ37" s="977">
        <f t="shared" si="1"/>
        <v>1590</v>
      </c>
      <c r="CR37" s="1006">
        <f t="shared" si="2"/>
        <v>1600</v>
      </c>
    </row>
    <row r="38" spans="3:96" ht="18.75" thickBot="1">
      <c r="C38" s="1007">
        <f t="shared" si="3"/>
        <v>33</v>
      </c>
      <c r="D38" s="1008">
        <f t="shared" si="4"/>
        <v>54600</v>
      </c>
      <c r="E38" s="1076">
        <f t="shared" si="5"/>
        <v>0</v>
      </c>
      <c r="G38" s="1264">
        <v>5</v>
      </c>
      <c r="H38" s="1502" t="s">
        <v>38</v>
      </c>
      <c r="I38" s="1503"/>
      <c r="J38" s="1503"/>
      <c r="K38" s="1503"/>
      <c r="L38" s="1503"/>
      <c r="M38" s="1395" t="s">
        <v>35</v>
      </c>
      <c r="N38" s="1407">
        <f>IF(H39&gt;25000,25000,IF(H39&lt;25000,H39,0))</f>
        <v>0</v>
      </c>
      <c r="O38" s="1260"/>
      <c r="P38" s="1261">
        <v>8</v>
      </c>
      <c r="Q38" s="1504" t="s">
        <v>79</v>
      </c>
      <c r="R38" s="1505"/>
      <c r="S38" s="1506"/>
      <c r="T38" s="1409" t="s">
        <v>36</v>
      </c>
      <c r="U38" s="1410">
        <v>0</v>
      </c>
      <c r="W38" s="1003"/>
      <c r="X38" s="1003"/>
      <c r="Y38" s="1003"/>
      <c r="BL38" s="1007">
        <v>2</v>
      </c>
      <c r="BM38" s="1038">
        <v>180</v>
      </c>
      <c r="CP38" s="1026">
        <f t="shared" si="9"/>
        <v>54600</v>
      </c>
      <c r="CQ38" s="977">
        <f t="shared" si="1"/>
        <v>1638</v>
      </c>
      <c r="CR38" s="1006">
        <f t="shared" si="2"/>
        <v>1600</v>
      </c>
    </row>
    <row r="39" spans="3:96" ht="18.75" thickBot="1">
      <c r="C39" s="1007">
        <f>+C38+1</f>
        <v>34</v>
      </c>
      <c r="D39" s="1008">
        <f t="shared" si="4"/>
        <v>56200</v>
      </c>
      <c r="E39" s="1076">
        <f t="shared" si="5"/>
        <v>0</v>
      </c>
      <c r="G39" s="1264"/>
      <c r="H39" s="1512">
        <v>0</v>
      </c>
      <c r="I39" s="1513"/>
      <c r="J39" s="1514"/>
      <c r="K39" s="1515"/>
      <c r="L39" s="1515"/>
      <c r="M39" s="1516"/>
      <c r="N39" s="1408">
        <f>+N37-N38</f>
        <v>381650</v>
      </c>
      <c r="O39" s="1260"/>
      <c r="P39" s="1261">
        <v>9</v>
      </c>
      <c r="Q39" s="1517" t="s">
        <v>80</v>
      </c>
      <c r="R39" s="1518"/>
      <c r="S39" s="1519"/>
      <c r="T39" s="1262" t="s">
        <v>36</v>
      </c>
      <c r="U39" s="1271">
        <f>+S23</f>
        <v>0</v>
      </c>
      <c r="W39" s="1003"/>
      <c r="X39" s="1003"/>
      <c r="Y39" s="1003"/>
      <c r="BL39" s="1087"/>
      <c r="BM39" s="1088">
        <f>SUM(BM27:BM38)</f>
        <v>2160</v>
      </c>
      <c r="CP39" s="1026">
        <f t="shared" si="9"/>
        <v>56200</v>
      </c>
      <c r="CQ39" s="977">
        <f t="shared" si="1"/>
        <v>1686</v>
      </c>
      <c r="CR39" s="1006">
        <f t="shared" si="2"/>
        <v>1700</v>
      </c>
    </row>
    <row r="40" spans="3:96" ht="18.75" thickBot="1">
      <c r="C40" s="1007">
        <f t="shared" si="3"/>
        <v>35</v>
      </c>
      <c r="D40" s="1008">
        <f t="shared" si="4"/>
        <v>57900</v>
      </c>
      <c r="E40" s="1076">
        <f t="shared" si="5"/>
        <v>0</v>
      </c>
      <c r="G40" s="1264">
        <v>6</v>
      </c>
      <c r="H40" s="1520" t="s">
        <v>228</v>
      </c>
      <c r="I40" s="1521"/>
      <c r="J40" s="1521"/>
      <c r="K40" s="1521"/>
      <c r="L40" s="1522"/>
      <c r="M40" s="1395" t="s">
        <v>35</v>
      </c>
      <c r="N40" s="1396">
        <v>0</v>
      </c>
      <c r="O40" s="1260"/>
      <c r="P40" s="1199"/>
      <c r="Q40" s="1510" t="s">
        <v>3</v>
      </c>
      <c r="R40" s="1523"/>
      <c r="S40" s="1524"/>
      <c r="T40" s="1262" t="s">
        <v>36</v>
      </c>
      <c r="U40" s="1272">
        <f>SUM(U31:U39)</f>
        <v>12400</v>
      </c>
      <c r="W40" s="1003"/>
      <c r="CP40" s="1026">
        <f t="shared" si="9"/>
        <v>57900</v>
      </c>
      <c r="CQ40" s="977">
        <f t="shared" si="1"/>
        <v>1737</v>
      </c>
      <c r="CR40" s="1006">
        <f t="shared" si="2"/>
        <v>1700</v>
      </c>
    </row>
    <row r="41" spans="3:96" ht="18" hidden="1">
      <c r="C41" s="1007">
        <f t="shared" si="3"/>
        <v>36</v>
      </c>
      <c r="D41" s="1008">
        <f t="shared" si="4"/>
        <v>59600</v>
      </c>
      <c r="E41" s="1076">
        <f t="shared" si="5"/>
        <v>0</v>
      </c>
      <c r="G41" s="1273"/>
      <c r="H41" s="1525"/>
      <c r="I41" s="1526"/>
      <c r="J41" s="1526"/>
      <c r="K41" s="1526"/>
      <c r="L41" s="1526"/>
      <c r="M41" s="1527"/>
      <c r="N41" s="1259">
        <f>+N39-N40</f>
        <v>381650</v>
      </c>
      <c r="O41" s="1260"/>
      <c r="P41" s="1199"/>
      <c r="Q41" s="1510"/>
      <c r="R41" s="1523"/>
      <c r="S41" s="1523"/>
      <c r="T41" s="1511"/>
      <c r="U41" s="1263"/>
      <c r="V41" s="1203"/>
      <c r="W41" s="1003"/>
      <c r="CP41" s="1026">
        <f t="shared" si="9"/>
        <v>59600</v>
      </c>
      <c r="CQ41" s="977">
        <f t="shared" si="1"/>
        <v>1788</v>
      </c>
      <c r="CR41" s="1006">
        <f t="shared" si="2"/>
        <v>1800</v>
      </c>
    </row>
    <row r="42" spans="3:96" ht="18.75" hidden="1" thickBot="1">
      <c r="C42" s="1007">
        <f t="shared" si="3"/>
        <v>37</v>
      </c>
      <c r="D42" s="1008">
        <f t="shared" si="4"/>
        <v>61400</v>
      </c>
      <c r="E42" s="1076">
        <f t="shared" si="5"/>
        <v>0</v>
      </c>
      <c r="G42" s="1264">
        <v>7</v>
      </c>
      <c r="H42" s="1520" t="s">
        <v>391</v>
      </c>
      <c r="I42" s="1521"/>
      <c r="J42" s="1521"/>
      <c r="K42" s="1521"/>
      <c r="L42" s="1522"/>
      <c r="M42" s="1395" t="s">
        <v>35</v>
      </c>
      <c r="N42" s="1411">
        <v>50000</v>
      </c>
      <c r="O42" s="1260"/>
      <c r="P42" s="1261">
        <v>10</v>
      </c>
      <c r="Q42" s="1528" t="s">
        <v>274</v>
      </c>
      <c r="R42" s="1529"/>
      <c r="S42" s="1530"/>
      <c r="T42" s="1275"/>
      <c r="U42" s="1276">
        <f>IF(U40&gt;150001,150000,IF(AND(U40&lt;150001),U40))</f>
        <v>12400</v>
      </c>
      <c r="V42" s="1203"/>
      <c r="CP42" s="1026">
        <f t="shared" si="9"/>
        <v>61400</v>
      </c>
      <c r="CQ42" s="977">
        <f t="shared" si="1"/>
        <v>1842</v>
      </c>
      <c r="CR42" s="1006">
        <f t="shared" si="2"/>
        <v>1800</v>
      </c>
    </row>
    <row r="43" spans="3:96" ht="18.75" hidden="1" thickBot="1">
      <c r="C43" s="1007">
        <f t="shared" si="3"/>
        <v>38</v>
      </c>
      <c r="D43" s="1008">
        <f t="shared" si="4"/>
        <v>63200</v>
      </c>
      <c r="E43" s="1076">
        <f t="shared" si="5"/>
        <v>0</v>
      </c>
      <c r="G43" s="1273"/>
      <c r="H43" s="1525"/>
      <c r="I43" s="1526"/>
      <c r="J43" s="1526"/>
      <c r="K43" s="1526"/>
      <c r="L43" s="1526"/>
      <c r="M43" s="1527"/>
      <c r="N43" s="1259">
        <f>N41-N42</f>
        <v>331650</v>
      </c>
      <c r="O43" s="1260"/>
      <c r="P43" s="1261"/>
      <c r="Q43" s="1528"/>
      <c r="R43" s="1529"/>
      <c r="S43" s="1530"/>
      <c r="T43" s="1277"/>
      <c r="U43" s="1271"/>
      <c r="W43" s="1095">
        <f>+U47</f>
        <v>69250</v>
      </c>
      <c r="CP43" s="1026">
        <f t="shared" si="9"/>
        <v>63200</v>
      </c>
      <c r="CQ43" s="977">
        <f t="shared" si="1"/>
        <v>1896</v>
      </c>
      <c r="CR43" s="1006">
        <f t="shared" si="2"/>
        <v>1900</v>
      </c>
    </row>
    <row r="44" spans="3:96" ht="18" hidden="1">
      <c r="C44" s="1007">
        <f t="shared" si="3"/>
        <v>39</v>
      </c>
      <c r="D44" s="1008">
        <f t="shared" si="4"/>
        <v>65100</v>
      </c>
      <c r="E44" s="1076">
        <f t="shared" si="5"/>
        <v>0</v>
      </c>
      <c r="G44" s="1264">
        <v>8</v>
      </c>
      <c r="H44" s="1531" t="s">
        <v>392</v>
      </c>
      <c r="I44" s="1532"/>
      <c r="J44" s="1532"/>
      <c r="K44" s="1532"/>
      <c r="L44" s="1532"/>
      <c r="M44" s="1533"/>
      <c r="N44" s="1278">
        <f>+N43</f>
        <v>331650</v>
      </c>
      <c r="O44" s="1260"/>
      <c r="P44" s="907"/>
      <c r="Q44" s="1510"/>
      <c r="R44" s="1523"/>
      <c r="S44" s="1523"/>
      <c r="T44" s="1511"/>
      <c r="U44" s="1272">
        <f>+U42+U43</f>
        <v>12400</v>
      </c>
      <c r="W44" s="1095">
        <f>+T48</f>
        <v>69250</v>
      </c>
      <c r="CP44" s="1026">
        <f t="shared" si="9"/>
        <v>65100</v>
      </c>
      <c r="CQ44" s="977">
        <f t="shared" si="1"/>
        <v>1953</v>
      </c>
      <c r="CR44" s="1006">
        <f t="shared" si="2"/>
        <v>2000</v>
      </c>
    </row>
    <row r="45" spans="3:96" ht="18.75" hidden="1" thickBot="1">
      <c r="C45" s="1096">
        <f t="shared" si="3"/>
        <v>40</v>
      </c>
      <c r="D45" s="1097">
        <f t="shared" si="4"/>
        <v>67100</v>
      </c>
      <c r="E45" s="1098">
        <f t="shared" si="5"/>
        <v>0</v>
      </c>
      <c r="G45" s="1273"/>
      <c r="H45" s="1531" t="s">
        <v>41</v>
      </c>
      <c r="I45" s="1532"/>
      <c r="J45" s="1532"/>
      <c r="K45" s="1532"/>
      <c r="L45" s="1532"/>
      <c r="M45" s="1265" t="s">
        <v>35</v>
      </c>
      <c r="N45" s="1278">
        <f>+U44</f>
        <v>12400</v>
      </c>
      <c r="O45" s="1260"/>
      <c r="P45" s="1261">
        <v>11</v>
      </c>
      <c r="Q45" s="1528" t="str">
        <f>+H48</f>
        <v>TAXABLE INCOME ROUNDED OFF</v>
      </c>
      <c r="R45" s="1529"/>
      <c r="S45" s="1529"/>
      <c r="T45" s="1534"/>
      <c r="U45" s="1279">
        <f>+N48</f>
        <v>319250</v>
      </c>
      <c r="W45" s="1095">
        <f>+W43-W44</f>
        <v>0</v>
      </c>
      <c r="CP45" s="1026">
        <f t="shared" si="9"/>
        <v>67100</v>
      </c>
      <c r="CQ45" s="977">
        <f t="shared" si="1"/>
        <v>2013</v>
      </c>
      <c r="CR45" s="1099">
        <f t="shared" si="2"/>
        <v>2000</v>
      </c>
    </row>
    <row r="46" spans="3:97" ht="18.75" hidden="1" thickBot="1">
      <c r="C46" s="983"/>
      <c r="G46" s="1273"/>
      <c r="H46" s="1525"/>
      <c r="I46" s="1526"/>
      <c r="J46" s="1526"/>
      <c r="K46" s="1526"/>
      <c r="L46" s="1526"/>
      <c r="M46" s="1527"/>
      <c r="N46" s="1278"/>
      <c r="O46" s="1260"/>
      <c r="P46" s="1261">
        <v>12</v>
      </c>
      <c r="Q46" s="1528" t="str">
        <f>VLOOKUP(AO6,AW6:AX7,2)</f>
        <v>UPTO RS.250000/= (   NIL  )</v>
      </c>
      <c r="R46" s="1529"/>
      <c r="S46" s="1529"/>
      <c r="T46" s="1534"/>
      <c r="U46" s="1271">
        <f>VLOOKUP(AO6,AP6:AQ7,2,FALSE)</f>
        <v>250000</v>
      </c>
      <c r="W46" s="1095">
        <f>+T49</f>
        <v>0</v>
      </c>
      <c r="CP46" s="1042"/>
      <c r="CQ46" s="979"/>
      <c r="CR46" s="1100"/>
      <c r="CS46" s="979"/>
    </row>
    <row r="47" spans="3:97" ht="18.75" hidden="1" thickBot="1">
      <c r="C47" s="983"/>
      <c r="G47" s="1273"/>
      <c r="H47" s="1531" t="s">
        <v>43</v>
      </c>
      <c r="I47" s="1532"/>
      <c r="J47" s="1532"/>
      <c r="K47" s="1532"/>
      <c r="L47" s="1532"/>
      <c r="M47" s="1533"/>
      <c r="N47" s="1278">
        <f>+N44-N45</f>
        <v>319250</v>
      </c>
      <c r="O47" s="1260"/>
      <c r="P47" s="1199"/>
      <c r="Q47" s="1535"/>
      <c r="R47" s="1536"/>
      <c r="S47" s="1536"/>
      <c r="T47" s="1537"/>
      <c r="U47" s="1280">
        <f>+U45-U46</f>
        <v>69250</v>
      </c>
      <c r="W47" s="1095">
        <f>+W45-W46</f>
        <v>0</v>
      </c>
      <c r="X47" s="979"/>
      <c r="CP47" s="1042"/>
      <c r="CQ47" s="979"/>
      <c r="CR47" s="1100"/>
      <c r="CS47" s="979"/>
    </row>
    <row r="48" spans="7:97" ht="18" hidden="1">
      <c r="G48" s="1273"/>
      <c r="H48" s="1538" t="s">
        <v>44</v>
      </c>
      <c r="I48" s="1539"/>
      <c r="J48" s="1539"/>
      <c r="K48" s="1539"/>
      <c r="L48" s="1539"/>
      <c r="M48" s="1540"/>
      <c r="N48" s="1278">
        <f>ROUND(+N47,-1)</f>
        <v>319250</v>
      </c>
      <c r="O48" s="1260"/>
      <c r="P48" s="1262">
        <v>13</v>
      </c>
      <c r="Q48" s="1541" t="str">
        <f>VLOOKUP(AO6,AW9:AX10,2)</f>
        <v>250001  TO  500000  5%</v>
      </c>
      <c r="R48" s="1542"/>
      <c r="S48" s="1543"/>
      <c r="T48" s="1281">
        <f>VLOOKUP(AO6,AW12:AX13,2)</f>
        <v>69250</v>
      </c>
      <c r="U48" s="1282">
        <f>ROUND(+T48*5%,0)</f>
        <v>3463</v>
      </c>
      <c r="Z48" s="1101"/>
      <c r="AB48" s="1101"/>
      <c r="AH48" s="1101"/>
      <c r="CP48" s="1042"/>
      <c r="CQ48" s="979"/>
      <c r="CR48" s="1100"/>
      <c r="CS48" s="979"/>
    </row>
    <row r="49" spans="7:97" ht="18" hidden="1">
      <c r="G49" s="1273"/>
      <c r="H49" s="1525"/>
      <c r="I49" s="1526"/>
      <c r="J49" s="1526"/>
      <c r="K49" s="1526"/>
      <c r="L49" s="1526"/>
      <c r="M49" s="1527"/>
      <c r="N49" s="1278"/>
      <c r="O49" s="1260"/>
      <c r="P49" s="1277"/>
      <c r="Q49" s="1544" t="s">
        <v>227</v>
      </c>
      <c r="R49" s="1545"/>
      <c r="S49" s="1546"/>
      <c r="T49" s="1283">
        <f>IF(U47&gt;600000,BH7,IF(U47&lt;600000,BH6,0))</f>
        <v>0</v>
      </c>
      <c r="U49" s="1263">
        <f>ROUND(+T49*20%,0)</f>
        <v>0</v>
      </c>
      <c r="Z49" s="1026"/>
      <c r="AH49" s="1101"/>
      <c r="CP49" s="1042"/>
      <c r="CQ49" s="979"/>
      <c r="CR49" s="1100"/>
      <c r="CS49" s="979"/>
    </row>
    <row r="50" spans="7:97" ht="18.75" hidden="1" thickBot="1">
      <c r="G50" s="1273"/>
      <c r="H50" s="1525"/>
      <c r="I50" s="1526"/>
      <c r="J50" s="1526"/>
      <c r="K50" s="1526"/>
      <c r="L50" s="1526"/>
      <c r="M50" s="1527"/>
      <c r="N50" s="1278"/>
      <c r="O50" s="1260"/>
      <c r="P50" s="1277"/>
      <c r="Q50" s="1547" t="s">
        <v>284</v>
      </c>
      <c r="R50" s="1548"/>
      <c r="S50" s="1549"/>
      <c r="T50" s="1284">
        <f>IF(U47&gt;4000000,4000000,IF(U47&lt;4000000,U47-T48-T49,0))</f>
        <v>0</v>
      </c>
      <c r="U50" s="1271">
        <f>ROUND(+T50*30%,0)</f>
        <v>0</v>
      </c>
      <c r="W50" s="1020"/>
      <c r="Z50" s="1026"/>
      <c r="CP50" s="1042"/>
      <c r="CQ50" s="979"/>
      <c r="CR50" s="1100"/>
      <c r="CS50" s="979"/>
    </row>
    <row r="51" spans="7:97" ht="18.75" hidden="1" thickBot="1">
      <c r="G51" s="1285"/>
      <c r="H51" s="1550" t="s">
        <v>46</v>
      </c>
      <c r="I51" s="1551"/>
      <c r="J51" s="1551"/>
      <c r="K51" s="1551"/>
      <c r="L51" s="1551"/>
      <c r="M51" s="1552"/>
      <c r="N51" s="1278">
        <f>+U56</f>
        <v>-9398</v>
      </c>
      <c r="O51" s="1286"/>
      <c r="P51" s="1275"/>
      <c r="Q51" s="1553" t="s">
        <v>3</v>
      </c>
      <c r="R51" s="1554"/>
      <c r="S51" s="1287">
        <f>+U47</f>
        <v>69250</v>
      </c>
      <c r="T51" s="1288">
        <f>SUM(T48:T50)</f>
        <v>69250</v>
      </c>
      <c r="U51" s="1289">
        <f>SUM(U48:U50)</f>
        <v>3463</v>
      </c>
      <c r="W51" s="1020"/>
      <c r="CP51" s="1042"/>
      <c r="CQ51" s="979"/>
      <c r="CR51" s="1100"/>
      <c r="CS51" s="979"/>
    </row>
    <row r="52" spans="7:97" ht="18" hidden="1">
      <c r="G52" s="1285"/>
      <c r="H52" s="1525"/>
      <c r="I52" s="1526"/>
      <c r="J52" s="1526"/>
      <c r="K52" s="1526"/>
      <c r="L52" s="1526"/>
      <c r="M52" s="1527"/>
      <c r="N52" s="1278"/>
      <c r="O52" s="1286"/>
      <c r="P52" s="1261">
        <v>14</v>
      </c>
      <c r="Q52" s="1555" t="s">
        <v>45</v>
      </c>
      <c r="R52" s="1556"/>
      <c r="S52" s="1557"/>
      <c r="T52" s="1275"/>
      <c r="U52" s="1263">
        <f>+U51</f>
        <v>3463</v>
      </c>
      <c r="W52" s="979"/>
      <c r="CP52" s="1042"/>
      <c r="CQ52" s="979"/>
      <c r="CR52" s="1100"/>
      <c r="CS52" s="979"/>
    </row>
    <row r="53" spans="1:97" ht="18.75" thickBot="1">
      <c r="A53" s="1558"/>
      <c r="B53" s="1559"/>
      <c r="C53" s="1559"/>
      <c r="D53" s="1559"/>
      <c r="E53" s="1559"/>
      <c r="G53" s="1285"/>
      <c r="H53" s="1560" t="s">
        <v>83</v>
      </c>
      <c r="I53" s="1561"/>
      <c r="J53" s="1561"/>
      <c r="K53" s="1561"/>
      <c r="L53" s="1561"/>
      <c r="M53" s="1562"/>
      <c r="N53" s="1452">
        <v>0</v>
      </c>
      <c r="O53" s="1286"/>
      <c r="P53" s="1261">
        <v>15</v>
      </c>
      <c r="Q53" s="1528" t="s">
        <v>229</v>
      </c>
      <c r="R53" s="1529"/>
      <c r="S53" s="1529"/>
      <c r="T53" s="1530"/>
      <c r="U53" s="1290">
        <f>AB53</f>
        <v>12500</v>
      </c>
      <c r="W53" s="1102"/>
      <c r="X53" s="1101">
        <f>N48</f>
        <v>319250</v>
      </c>
      <c r="Y53" s="977">
        <v>0</v>
      </c>
      <c r="Z53" s="977">
        <v>12500</v>
      </c>
      <c r="AA53" s="1103"/>
      <c r="AB53" s="1064">
        <f>VLOOKUP(+X53,Y53:Z54,2)</f>
        <v>12500</v>
      </c>
      <c r="CP53" s="1042"/>
      <c r="CQ53" s="979"/>
      <c r="CR53" s="1100"/>
      <c r="CS53" s="979"/>
    </row>
    <row r="54" spans="1:97" ht="18" hidden="1">
      <c r="A54" s="1558"/>
      <c r="B54" s="1344"/>
      <c r="C54" s="979"/>
      <c r="D54" s="1563"/>
      <c r="E54" s="1563"/>
      <c r="G54" s="1285"/>
      <c r="H54" s="1507"/>
      <c r="I54" s="1508"/>
      <c r="J54" s="1508"/>
      <c r="K54" s="1508"/>
      <c r="L54" s="1508"/>
      <c r="M54" s="1509"/>
      <c r="N54" s="1259">
        <f>+N51-N53</f>
        <v>-9398</v>
      </c>
      <c r="O54" s="1286"/>
      <c r="P54" s="1262"/>
      <c r="Q54" s="1564" t="s">
        <v>45</v>
      </c>
      <c r="R54" s="1564"/>
      <c r="S54" s="1564"/>
      <c r="T54" s="1291"/>
      <c r="U54" s="1272">
        <f>U52-U53</f>
        <v>-9037</v>
      </c>
      <c r="Y54" s="977">
        <v>500000</v>
      </c>
      <c r="Z54" s="977">
        <v>0</v>
      </c>
      <c r="CP54" s="1042"/>
      <c r="CQ54" s="979"/>
      <c r="CR54" s="1100"/>
      <c r="CS54" s="979"/>
    </row>
    <row r="55" spans="1:97" ht="18.75" hidden="1" thickBot="1">
      <c r="A55" s="1558"/>
      <c r="B55" s="1345"/>
      <c r="C55" s="1105"/>
      <c r="D55" s="1565"/>
      <c r="E55" s="1563"/>
      <c r="G55" s="1285"/>
      <c r="H55" s="1566" t="s">
        <v>47</v>
      </c>
      <c r="I55" s="1564"/>
      <c r="J55" s="1564"/>
      <c r="K55" s="1564"/>
      <c r="L55" s="1564"/>
      <c r="M55" s="1567"/>
      <c r="N55" s="1266">
        <f>+U23</f>
        <v>-9398</v>
      </c>
      <c r="O55" s="1286"/>
      <c r="P55" s="1261">
        <v>16</v>
      </c>
      <c r="Q55" s="1493" t="s">
        <v>389</v>
      </c>
      <c r="R55" s="1494"/>
      <c r="S55" s="1494"/>
      <c r="T55" s="1534"/>
      <c r="U55" s="1271">
        <f>ROUND(+U54*4%,0)</f>
        <v>-361</v>
      </c>
      <c r="AA55" s="1103"/>
      <c r="CP55" s="979"/>
      <c r="CQ55" s="979"/>
      <c r="CR55" s="1100"/>
      <c r="CS55" s="979"/>
    </row>
    <row r="56" spans="1:97" ht="18.75" customHeight="1" hidden="1" thickBot="1">
      <c r="A56" s="1558"/>
      <c r="B56" s="1345"/>
      <c r="C56" s="979"/>
      <c r="D56" s="1565"/>
      <c r="E56" s="1563"/>
      <c r="G56" s="1292"/>
      <c r="H56" s="1568" t="s">
        <v>48</v>
      </c>
      <c r="I56" s="1569"/>
      <c r="J56" s="1569"/>
      <c r="K56" s="1569"/>
      <c r="L56" s="1569"/>
      <c r="M56" s="1570"/>
      <c r="N56" s="1293">
        <f>+N54-N55</f>
        <v>0</v>
      </c>
      <c r="O56" s="1286"/>
      <c r="P56" s="1261">
        <v>17</v>
      </c>
      <c r="Q56" s="1571" t="s">
        <v>49</v>
      </c>
      <c r="R56" s="1521"/>
      <c r="S56" s="1521"/>
      <c r="T56" s="1572"/>
      <c r="U56" s="1410">
        <f>U54+U55</f>
        <v>-9398</v>
      </c>
      <c r="CP56" s="979"/>
      <c r="CQ56" s="979"/>
      <c r="CR56" s="1100"/>
      <c r="CS56" s="979"/>
    </row>
    <row r="57" spans="1:97" ht="26.25" customHeight="1" hidden="1" thickBot="1">
      <c r="A57" s="1558"/>
      <c r="B57" s="1345"/>
      <c r="C57" s="979"/>
      <c r="D57" s="1563"/>
      <c r="E57" s="1563"/>
      <c r="G57" s="1573" t="s">
        <v>401</v>
      </c>
      <c r="H57" s="1574"/>
      <c r="I57" s="1574"/>
      <c r="J57" s="1574"/>
      <c r="K57" s="1574"/>
      <c r="L57" s="1574"/>
      <c r="M57" s="1574"/>
      <c r="N57" s="1575"/>
      <c r="O57" s="1575"/>
      <c r="P57" s="1575"/>
      <c r="Q57" s="1575"/>
      <c r="R57" s="1575"/>
      <c r="S57" s="1575"/>
      <c r="T57" s="1575"/>
      <c r="U57" s="1576"/>
      <c r="CP57" s="979"/>
      <c r="CQ57" s="979"/>
      <c r="CR57" s="1100"/>
      <c r="CS57" s="979"/>
    </row>
    <row r="58" spans="1:97" ht="18" customHeight="1" hidden="1">
      <c r="A58" s="1558"/>
      <c r="B58" s="1345"/>
      <c r="C58" s="979"/>
      <c r="D58" s="1563"/>
      <c r="E58" s="1563"/>
      <c r="G58" s="1577" t="s">
        <v>54</v>
      </c>
      <c r="H58" s="1578"/>
      <c r="I58" s="1578"/>
      <c r="J58" s="1578"/>
      <c r="K58" s="1578"/>
      <c r="L58" s="1578"/>
      <c r="M58" s="1578"/>
      <c r="N58" s="1578"/>
      <c r="O58" s="1578"/>
      <c r="P58" s="1578"/>
      <c r="Q58" s="1578"/>
      <c r="R58" s="1578"/>
      <c r="S58" s="1578"/>
      <c r="T58" s="1578"/>
      <c r="U58" s="1579"/>
      <c r="AK58" s="1106"/>
      <c r="AL58" s="1107"/>
      <c r="AM58" s="979"/>
      <c r="AN58" s="979"/>
      <c r="AO58" s="979"/>
      <c r="AP58" s="979"/>
      <c r="CP58" s="979"/>
      <c r="CQ58" s="979"/>
      <c r="CR58" s="1100"/>
      <c r="CS58" s="979"/>
    </row>
    <row r="59" spans="1:97" ht="18" customHeight="1" hidden="1">
      <c r="A59" s="1558"/>
      <c r="B59" s="1345"/>
      <c r="C59" s="979"/>
      <c r="D59" s="1563"/>
      <c r="E59" s="1563"/>
      <c r="G59" s="1577" t="s">
        <v>411</v>
      </c>
      <c r="H59" s="1578"/>
      <c r="I59" s="1578"/>
      <c r="J59" s="1578"/>
      <c r="K59" s="1578"/>
      <c r="L59" s="1578"/>
      <c r="M59" s="1578"/>
      <c r="N59" s="1578"/>
      <c r="O59" s="1578"/>
      <c r="P59" s="1578"/>
      <c r="Q59" s="1578"/>
      <c r="R59" s="1578"/>
      <c r="S59" s="1578"/>
      <c r="T59" s="1578"/>
      <c r="U59" s="1579"/>
      <c r="AK59" s="1106"/>
      <c r="AL59" s="1107"/>
      <c r="AM59" s="979"/>
      <c r="AN59" s="979"/>
      <c r="AO59" s="979"/>
      <c r="AP59" s="979"/>
      <c r="CP59" s="979"/>
      <c r="CQ59" s="979"/>
      <c r="CR59" s="1100"/>
      <c r="CS59" s="979"/>
    </row>
    <row r="60" spans="1:97" ht="18.75" customHeight="1" hidden="1" thickBot="1">
      <c r="A60" s="1558"/>
      <c r="B60" s="1345"/>
      <c r="C60" s="979"/>
      <c r="D60" s="1563"/>
      <c r="E60" s="1563"/>
      <c r="G60" s="1294"/>
      <c r="H60" s="1295"/>
      <c r="I60" s="1295"/>
      <c r="J60" s="1295"/>
      <c r="K60" s="1295"/>
      <c r="L60" s="1295"/>
      <c r="M60" s="1295"/>
      <c r="N60" s="1295"/>
      <c r="O60" s="1295"/>
      <c r="P60" s="1295"/>
      <c r="Q60" s="1295"/>
      <c r="R60" s="1295"/>
      <c r="S60" s="1296" t="s">
        <v>50</v>
      </c>
      <c r="T60" s="1295"/>
      <c r="U60" s="1297"/>
      <c r="AK60" s="1106"/>
      <c r="AL60" s="1107"/>
      <c r="AM60" s="979"/>
      <c r="AN60" s="979"/>
      <c r="AO60" s="979"/>
      <c r="AP60" s="979"/>
      <c r="CP60" s="979"/>
      <c r="CQ60" s="979"/>
      <c r="CR60" s="1100"/>
      <c r="CS60" s="979"/>
    </row>
    <row r="61" spans="1:97" ht="18" customHeight="1" hidden="1">
      <c r="A61" s="1381"/>
      <c r="B61" s="1345"/>
      <c r="C61" s="979"/>
      <c r="D61" s="979"/>
      <c r="E61" s="979"/>
      <c r="I61" s="905"/>
      <c r="J61" s="905"/>
      <c r="K61" s="905"/>
      <c r="L61" s="905"/>
      <c r="M61" s="905"/>
      <c r="N61" s="905"/>
      <c r="AK61" s="979"/>
      <c r="AL61" s="1042"/>
      <c r="AM61" s="1042"/>
      <c r="AN61" s="979"/>
      <c r="AO61" s="979"/>
      <c r="AP61" s="979"/>
      <c r="CP61" s="979"/>
      <c r="CQ61" s="979"/>
      <c r="CR61" s="1100"/>
      <c r="CS61" s="979"/>
    </row>
    <row r="62" spans="1:97" ht="18" customHeight="1">
      <c r="A62" s="1381"/>
      <c r="B62" s="1345"/>
      <c r="C62" s="979"/>
      <c r="D62" s="979"/>
      <c r="E62" s="979"/>
      <c r="AJ62" s="1022"/>
      <c r="CP62" s="979"/>
      <c r="CQ62" s="979"/>
      <c r="CR62" s="1100"/>
      <c r="CS62" s="979"/>
    </row>
    <row r="63" spans="1:97" ht="18" customHeight="1">
      <c r="A63" s="1558"/>
      <c r="B63" s="1589"/>
      <c r="C63" s="1589"/>
      <c r="D63" s="1589"/>
      <c r="E63" s="1589"/>
      <c r="G63" s="1298">
        <f>+U56</f>
        <v>-9398</v>
      </c>
      <c r="H63" s="1299"/>
      <c r="I63" s="905" t="e">
        <f>[4]!num2text(+G63)</f>
        <v>#NAME?</v>
      </c>
      <c r="N63" s="1300"/>
      <c r="O63" s="1203"/>
      <c r="P63" s="1203"/>
      <c r="Q63" s="1203"/>
      <c r="R63" s="1203"/>
      <c r="S63" s="1203"/>
      <c r="T63" s="1203"/>
      <c r="U63" s="1203"/>
      <c r="AJ63" s="1022"/>
      <c r="CP63" s="979"/>
      <c r="CQ63" s="979"/>
      <c r="CR63" s="1100"/>
      <c r="CS63" s="979"/>
    </row>
    <row r="64" spans="1:97" ht="18.75" customHeight="1" thickBot="1">
      <c r="A64" s="1558"/>
      <c r="B64" s="1344"/>
      <c r="C64" s="1108"/>
      <c r="D64" s="1104"/>
      <c r="E64" s="1108"/>
      <c r="N64" s="1300"/>
      <c r="O64" s="1203"/>
      <c r="P64" s="1203"/>
      <c r="Q64" s="1203"/>
      <c r="R64" s="1203"/>
      <c r="S64" s="1203"/>
      <c r="T64" s="1203"/>
      <c r="U64" s="1203"/>
      <c r="AJ64" s="1022"/>
      <c r="CP64" s="979"/>
      <c r="CQ64" s="979"/>
      <c r="CR64" s="1100"/>
      <c r="CS64" s="979"/>
    </row>
    <row r="65" spans="1:97" ht="18">
      <c r="A65" s="1558"/>
      <c r="B65" s="1346"/>
      <c r="C65" s="1109"/>
      <c r="D65" s="1110"/>
      <c r="E65" s="1108"/>
      <c r="H65" s="1457" t="s">
        <v>412</v>
      </c>
      <c r="I65" s="1458"/>
      <c r="J65" s="1458"/>
      <c r="K65" s="1458"/>
      <c r="L65" s="1458"/>
      <c r="M65" s="1459"/>
      <c r="N65" s="1203"/>
      <c r="O65" s="1463" t="s">
        <v>413</v>
      </c>
      <c r="P65" s="1464"/>
      <c r="Q65" s="1464" t="s">
        <v>414</v>
      </c>
      <c r="R65" s="1464"/>
      <c r="S65" s="1464" t="s">
        <v>415</v>
      </c>
      <c r="T65" s="1465"/>
      <c r="U65" s="1203"/>
      <c r="AJ65" s="1022"/>
      <c r="CP65" s="979"/>
      <c r="CQ65" s="979"/>
      <c r="CR65" s="1100"/>
      <c r="CS65" s="979"/>
    </row>
    <row r="66" spans="1:97" ht="18.75" thickBot="1">
      <c r="A66" s="1558"/>
      <c r="B66" s="1344"/>
      <c r="C66" s="1104"/>
      <c r="D66" s="1111"/>
      <c r="E66" s="1108"/>
      <c r="H66" s="1274">
        <f>+'IT-STATEMENT-2021-2022 OLD'!O31</f>
        <v>417510</v>
      </c>
      <c r="I66" s="1386"/>
      <c r="J66" s="1387">
        <f>+'IT-STATEMENT-2021-2022 OLD'!O31</f>
        <v>417510</v>
      </c>
      <c r="K66" s="1386"/>
      <c r="L66" s="1598">
        <f>+'IT-STATEMENT-21-22 NEW'!O31</f>
        <v>417510</v>
      </c>
      <c r="M66" s="1599"/>
      <c r="N66" s="1300"/>
      <c r="O66" s="1460">
        <f>+U56</f>
        <v>-9398</v>
      </c>
      <c r="P66" s="1461"/>
      <c r="Q66" s="1461">
        <f>+'IT-STATEMENT-2021-2022 OLD'!V56</f>
        <v>-9398</v>
      </c>
      <c r="R66" s="1461"/>
      <c r="S66" s="1461">
        <f>+'IT-STATEMENT-21-22 NEW'!R49</f>
        <v>8711</v>
      </c>
      <c r="T66" s="1462"/>
      <c r="U66" s="1203"/>
      <c r="AJ66" s="1022"/>
      <c r="CP66" s="979"/>
      <c r="CQ66" s="979"/>
      <c r="CR66" s="1100"/>
      <c r="CS66" s="979"/>
    </row>
    <row r="67" spans="1:97" ht="18">
      <c r="A67" s="1558"/>
      <c r="B67" s="1344"/>
      <c r="C67" s="1104"/>
      <c r="D67" s="1108"/>
      <c r="E67" s="1108"/>
      <c r="G67" s="1301"/>
      <c r="H67" s="1301"/>
      <c r="I67" s="1301"/>
      <c r="J67" s="1238"/>
      <c r="K67" s="1238"/>
      <c r="L67" s="1238"/>
      <c r="M67" s="1238"/>
      <c r="N67" s="1300"/>
      <c r="O67" s="1238"/>
      <c r="P67" s="1238"/>
      <c r="Q67" s="1238"/>
      <c r="R67" s="1203"/>
      <c r="S67" s="1203"/>
      <c r="T67" s="1203"/>
      <c r="U67" s="1203"/>
      <c r="AJ67" s="1022"/>
      <c r="CP67" s="979"/>
      <c r="CQ67" s="979"/>
      <c r="CR67" s="1100"/>
      <c r="CS67" s="979"/>
    </row>
    <row r="68" spans="1:97" ht="18.75" thickBot="1">
      <c r="A68" s="1558"/>
      <c r="B68" s="1344"/>
      <c r="C68" s="1104"/>
      <c r="D68" s="1108"/>
      <c r="E68" s="1108"/>
      <c r="G68" s="1238"/>
      <c r="H68" s="1238"/>
      <c r="I68" s="1238"/>
      <c r="J68" s="1238"/>
      <c r="K68" s="1238"/>
      <c r="L68" s="1203"/>
      <c r="M68" s="1203"/>
      <c r="N68" s="1300"/>
      <c r="O68" s="1302"/>
      <c r="P68" s="1238"/>
      <c r="Q68" s="1238"/>
      <c r="R68" s="1203"/>
      <c r="S68" s="1203"/>
      <c r="T68" s="1203"/>
      <c r="U68" s="1203"/>
      <c r="Y68" s="1003"/>
      <c r="Z68" s="977" t="s">
        <v>414</v>
      </c>
      <c r="AJ68" s="1022"/>
      <c r="CP68" s="979"/>
      <c r="CQ68" s="979"/>
      <c r="CR68" s="1100"/>
      <c r="CS68" s="979"/>
    </row>
    <row r="69" spans="1:97" ht="18.75" thickBot="1">
      <c r="A69" s="1558"/>
      <c r="B69" s="1344"/>
      <c r="C69" s="1104"/>
      <c r="D69" s="1108"/>
      <c r="E69" s="1108"/>
      <c r="G69" s="1238"/>
      <c r="H69" s="1238"/>
      <c r="I69" s="1238"/>
      <c r="J69" s="1238"/>
      <c r="K69" s="1238"/>
      <c r="L69" s="1203"/>
      <c r="M69" s="1203"/>
      <c r="N69" s="1427" t="s">
        <v>414</v>
      </c>
      <c r="O69" s="1302"/>
      <c r="P69" s="1238"/>
      <c r="Q69" s="1238"/>
      <c r="R69" s="1303"/>
      <c r="S69" s="1303"/>
      <c r="T69" s="1303"/>
      <c r="U69" s="1203"/>
      <c r="Z69" s="977" t="s">
        <v>415</v>
      </c>
      <c r="AJ69" s="1022"/>
      <c r="CP69" s="979"/>
      <c r="CQ69" s="979"/>
      <c r="CR69" s="1100"/>
      <c r="CS69" s="979"/>
    </row>
    <row r="70" spans="1:97" ht="18">
      <c r="A70" s="1558"/>
      <c r="B70" s="1344"/>
      <c r="C70" s="1104"/>
      <c r="D70" s="1104"/>
      <c r="E70" s="1108"/>
      <c r="G70" s="1304"/>
      <c r="H70" s="1304"/>
      <c r="I70" s="1304"/>
      <c r="J70" s="1304"/>
      <c r="K70" s="1304"/>
      <c r="L70" s="1304"/>
      <c r="M70" s="1203"/>
      <c r="N70" s="1238"/>
      <c r="O70" s="1302"/>
      <c r="P70" s="1238"/>
      <c r="Q70" s="1238"/>
      <c r="R70" s="1203"/>
      <c r="S70" s="1203"/>
      <c r="T70" s="1203"/>
      <c r="U70" s="1203"/>
      <c r="AJ70" s="1022"/>
      <c r="CP70" s="979"/>
      <c r="CQ70" s="979"/>
      <c r="CR70" s="1100"/>
      <c r="CS70" s="979"/>
    </row>
    <row r="71" spans="7:97" ht="18">
      <c r="G71" s="1238"/>
      <c r="H71" s="1238"/>
      <c r="I71" s="1238"/>
      <c r="J71" s="1238"/>
      <c r="K71" s="1238"/>
      <c r="L71" s="1238"/>
      <c r="M71" s="1203"/>
      <c r="N71" s="1203"/>
      <c r="O71" s="1302"/>
      <c r="P71" s="1238"/>
      <c r="Q71" s="1238"/>
      <c r="R71" s="1303"/>
      <c r="S71" s="1300"/>
      <c r="T71" s="1303"/>
      <c r="U71" s="1203"/>
      <c r="AJ71" s="979"/>
      <c r="CP71" s="979"/>
      <c r="CQ71" s="979"/>
      <c r="CR71" s="1100"/>
      <c r="CS71" s="979"/>
    </row>
    <row r="72" spans="7:97" ht="18">
      <c r="G72" s="1238"/>
      <c r="H72" s="1238"/>
      <c r="I72" s="1238"/>
      <c r="J72" s="1238"/>
      <c r="K72" s="1238"/>
      <c r="L72" s="1238"/>
      <c r="M72" s="1238"/>
      <c r="N72" s="1238"/>
      <c r="O72" s="1302"/>
      <c r="P72" s="1238"/>
      <c r="Q72" s="1238"/>
      <c r="R72" s="1203"/>
      <c r="S72" s="1203"/>
      <c r="T72" s="1203"/>
      <c r="U72" s="1203"/>
      <c r="X72" s="977" t="str">
        <f>+N69</f>
        <v>OLD</v>
      </c>
      <c r="Y72" s="977" t="s">
        <v>415</v>
      </c>
      <c r="Z72" s="977" t="s">
        <v>235</v>
      </c>
      <c r="AA72" s="977" t="str">
        <f>VLOOKUP(+X72,Y72:Z73,2)</f>
        <v>O</v>
      </c>
      <c r="CP72" s="979"/>
      <c r="CQ72" s="979"/>
      <c r="CR72" s="1100"/>
      <c r="CS72" s="979"/>
    </row>
    <row r="73" spans="7:97" ht="18">
      <c r="G73" s="1238"/>
      <c r="H73" s="1238"/>
      <c r="I73" s="1238"/>
      <c r="J73" s="1238"/>
      <c r="K73" s="1238"/>
      <c r="L73" s="1238"/>
      <c r="M73" s="1238"/>
      <c r="N73" s="1238"/>
      <c r="O73" s="1238"/>
      <c r="P73" s="1238"/>
      <c r="Q73" s="1238"/>
      <c r="R73" s="1303"/>
      <c r="S73" s="1303"/>
      <c r="T73" s="1303"/>
      <c r="U73" s="1203"/>
      <c r="Y73" s="977" t="s">
        <v>414</v>
      </c>
      <c r="Z73" s="977" t="s">
        <v>70</v>
      </c>
      <c r="CP73" s="979"/>
      <c r="CQ73" s="979"/>
      <c r="CR73" s="1100"/>
      <c r="CS73" s="979"/>
    </row>
    <row r="74" spans="7:97" ht="18">
      <c r="G74" s="1305"/>
      <c r="H74" s="1305"/>
      <c r="I74" s="1305"/>
      <c r="J74" s="1305"/>
      <c r="K74" s="1305"/>
      <c r="L74" s="1305"/>
      <c r="M74" s="1305"/>
      <c r="N74" s="1305"/>
      <c r="O74" s="1238"/>
      <c r="P74" s="1238"/>
      <c r="Q74" s="1238"/>
      <c r="R74" s="1203"/>
      <c r="S74" s="1203"/>
      <c r="T74" s="1203"/>
      <c r="U74" s="1203"/>
      <c r="CP74" s="979"/>
      <c r="CQ74" s="979"/>
      <c r="CR74" s="1100"/>
      <c r="CS74" s="979"/>
    </row>
    <row r="75" spans="7:97" ht="18">
      <c r="G75" s="1238"/>
      <c r="H75" s="1238"/>
      <c r="I75" s="1238"/>
      <c r="J75" s="1238"/>
      <c r="K75" s="1238"/>
      <c r="L75" s="1238"/>
      <c r="M75" s="1238"/>
      <c r="N75" s="1306"/>
      <c r="O75" s="1238"/>
      <c r="P75" s="1203"/>
      <c r="Q75" s="1203"/>
      <c r="R75" s="1303"/>
      <c r="S75" s="1303"/>
      <c r="T75" s="1303"/>
      <c r="U75" s="1203"/>
      <c r="CP75" s="979"/>
      <c r="CQ75" s="979"/>
      <c r="CR75" s="1100"/>
      <c r="CS75" s="979"/>
    </row>
    <row r="76" spans="7:97" ht="18">
      <c r="G76" s="1238"/>
      <c r="H76" s="1238"/>
      <c r="I76" s="1238"/>
      <c r="J76" s="1238"/>
      <c r="K76" s="1238"/>
      <c r="L76" s="1238"/>
      <c r="M76" s="1238"/>
      <c r="N76" s="1238"/>
      <c r="O76" s="1203"/>
      <c r="P76" s="1238"/>
      <c r="Q76" s="1203"/>
      <c r="R76" s="1303"/>
      <c r="S76" s="1203"/>
      <c r="T76" s="1303"/>
      <c r="U76" s="1203"/>
      <c r="CP76" s="979"/>
      <c r="CQ76" s="979"/>
      <c r="CR76" s="1100"/>
      <c r="CS76" s="979"/>
    </row>
    <row r="77" spans="14:97" ht="18">
      <c r="N77" s="1203"/>
      <c r="O77" s="1203"/>
      <c r="P77" s="1203"/>
      <c r="Q77" s="1203"/>
      <c r="R77" s="1203"/>
      <c r="S77" s="1203"/>
      <c r="T77" s="1203"/>
      <c r="U77" s="1203"/>
      <c r="CP77" s="979"/>
      <c r="CQ77" s="979"/>
      <c r="CR77" s="1100"/>
      <c r="CS77" s="979"/>
    </row>
    <row r="78" spans="14:97" ht="18">
      <c r="N78" s="1203"/>
      <c r="O78" s="1203"/>
      <c r="P78" s="1203"/>
      <c r="Q78" s="1203"/>
      <c r="R78" s="1203"/>
      <c r="S78" s="1303"/>
      <c r="T78" s="1303"/>
      <c r="U78" s="1203"/>
      <c r="CP78" s="979"/>
      <c r="CQ78" s="979"/>
      <c r="CR78" s="1100"/>
      <c r="CS78" s="979"/>
    </row>
    <row r="79" spans="14:97" ht="18">
      <c r="N79" s="1203"/>
      <c r="O79" s="1203"/>
      <c r="P79" s="1203"/>
      <c r="Q79" s="1203"/>
      <c r="R79" s="1203"/>
      <c r="S79" s="1203"/>
      <c r="T79" s="1303"/>
      <c r="U79" s="1203"/>
      <c r="CP79" s="979"/>
      <c r="CQ79" s="979"/>
      <c r="CR79" s="1100"/>
      <c r="CS79" s="979"/>
    </row>
    <row r="80" spans="14:97" ht="18" hidden="1">
      <c r="N80" s="1203"/>
      <c r="O80" s="1203"/>
      <c r="P80" s="1203"/>
      <c r="Q80" s="1203"/>
      <c r="R80" s="1203"/>
      <c r="S80" s="1203"/>
      <c r="T80" s="1203"/>
      <c r="U80" s="1203"/>
      <c r="CP80" s="979"/>
      <c r="CQ80" s="979"/>
      <c r="CR80" s="1100"/>
      <c r="CS80" s="979"/>
    </row>
    <row r="81" spans="94:97" ht="18" hidden="1">
      <c r="CP81" s="979"/>
      <c r="CQ81" s="979"/>
      <c r="CR81" s="1100"/>
      <c r="CS81" s="979"/>
    </row>
    <row r="82" spans="94:97" ht="18" hidden="1">
      <c r="CP82" s="979"/>
      <c r="CQ82" s="979"/>
      <c r="CR82" s="1100"/>
      <c r="CS82" s="979"/>
    </row>
    <row r="83" spans="94:97" ht="18.75" hidden="1" thickBot="1">
      <c r="CP83" s="979"/>
      <c r="CQ83" s="979"/>
      <c r="CR83" s="1100"/>
      <c r="CS83" s="979"/>
    </row>
    <row r="84" spans="5:97" ht="18" hidden="1">
      <c r="E84" s="1112"/>
      <c r="F84" s="1307"/>
      <c r="G84" s="1307"/>
      <c r="H84" s="1307"/>
      <c r="I84" s="1307"/>
      <c r="J84" s="1307"/>
      <c r="K84" s="1307"/>
      <c r="L84" s="1307"/>
      <c r="M84" s="1307"/>
      <c r="N84" s="1307"/>
      <c r="O84" s="1307"/>
      <c r="P84" s="1307"/>
      <c r="Q84" s="1307"/>
      <c r="R84" s="1308"/>
      <c r="CP84" s="979"/>
      <c r="CQ84" s="979"/>
      <c r="CR84" s="1100"/>
      <c r="CS84" s="979"/>
    </row>
    <row r="85" spans="5:97" ht="18" hidden="1">
      <c r="E85" s="1048"/>
      <c r="F85" s="1203"/>
      <c r="G85" s="1203"/>
      <c r="H85" s="1203"/>
      <c r="I85" s="1203"/>
      <c r="J85" s="1203"/>
      <c r="K85" s="1203"/>
      <c r="L85" s="1203"/>
      <c r="M85" s="1203"/>
      <c r="N85" s="1203"/>
      <c r="O85" s="1203"/>
      <c r="P85" s="1203"/>
      <c r="Q85" s="1203"/>
      <c r="R85" s="1242"/>
      <c r="CP85" s="979"/>
      <c r="CQ85" s="979"/>
      <c r="CR85" s="1100"/>
      <c r="CS85" s="979"/>
    </row>
    <row r="86" spans="5:97" ht="18" hidden="1">
      <c r="E86" s="1048"/>
      <c r="F86" s="1203"/>
      <c r="G86" s="1203"/>
      <c r="H86" s="1203"/>
      <c r="I86" s="1203"/>
      <c r="J86" s="1203"/>
      <c r="K86" s="1203"/>
      <c r="L86" s="1203"/>
      <c r="M86" s="1203"/>
      <c r="N86" s="1203"/>
      <c r="O86" s="1203"/>
      <c r="P86" s="1203"/>
      <c r="Q86" s="1203"/>
      <c r="R86" s="1242"/>
      <c r="CP86" s="979"/>
      <c r="CQ86" s="979"/>
      <c r="CR86" s="1100"/>
      <c r="CS86" s="979"/>
    </row>
    <row r="87" spans="5:97" ht="20.25" hidden="1">
      <c r="E87" s="1590" t="s">
        <v>302</v>
      </c>
      <c r="F87" s="1591"/>
      <c r="G87" s="1591"/>
      <c r="H87" s="1591"/>
      <c r="I87" s="1591"/>
      <c r="J87" s="1591"/>
      <c r="K87" s="1591"/>
      <c r="L87" s="1591"/>
      <c r="M87" s="1591"/>
      <c r="N87" s="1591"/>
      <c r="O87" s="1591"/>
      <c r="P87" s="1591"/>
      <c r="Q87" s="1591"/>
      <c r="R87" s="1592"/>
      <c r="CP87" s="979"/>
      <c r="CQ87" s="979"/>
      <c r="CR87" s="1100"/>
      <c r="CS87" s="979"/>
    </row>
    <row r="88" spans="5:97" ht="18" hidden="1">
      <c r="E88" s="1048"/>
      <c r="F88" s="1203"/>
      <c r="G88" s="1301"/>
      <c r="H88" s="1301"/>
      <c r="I88" s="1301"/>
      <c r="J88" s="1238"/>
      <c r="K88" s="1238"/>
      <c r="L88" s="1238"/>
      <c r="M88" s="1238"/>
      <c r="N88" s="1300"/>
      <c r="O88" s="1238"/>
      <c r="P88" s="1238"/>
      <c r="Q88" s="1203"/>
      <c r="R88" s="1239"/>
      <c r="S88" s="1203"/>
      <c r="CP88" s="979"/>
      <c r="CQ88" s="979"/>
      <c r="CR88" s="1100"/>
      <c r="CS88" s="979"/>
    </row>
    <row r="89" spans="5:97" ht="18" hidden="1">
      <c r="E89" s="1048"/>
      <c r="F89" s="1203"/>
      <c r="G89" s="1309" t="s">
        <v>84</v>
      </c>
      <c r="H89" s="1203"/>
      <c r="I89" s="1203" t="s">
        <v>85</v>
      </c>
      <c r="J89" s="1203"/>
      <c r="K89" s="1203"/>
      <c r="L89" s="1310" t="s">
        <v>36</v>
      </c>
      <c r="M89" s="1203"/>
      <c r="N89" s="1311">
        <f>+H23</f>
        <v>308800</v>
      </c>
      <c r="O89" s="1203"/>
      <c r="P89" s="1203"/>
      <c r="Q89" s="1203"/>
      <c r="R89" s="1242"/>
      <c r="CP89" s="979"/>
      <c r="CQ89" s="979"/>
      <c r="CR89" s="1100"/>
      <c r="CS89" s="979"/>
    </row>
    <row r="90" spans="5:97" ht="18" hidden="1">
      <c r="E90" s="1048"/>
      <c r="F90" s="1203"/>
      <c r="G90" s="1203" t="s">
        <v>86</v>
      </c>
      <c r="H90" s="1203"/>
      <c r="I90" s="1203" t="s">
        <v>85</v>
      </c>
      <c r="J90" s="1203"/>
      <c r="K90" s="1203"/>
      <c r="L90" s="1310" t="s">
        <v>36</v>
      </c>
      <c r="M90" s="1203"/>
      <c r="N90" s="1311">
        <f>+I23</f>
        <v>0</v>
      </c>
      <c r="O90" s="1203"/>
      <c r="P90" s="1203"/>
      <c r="Q90" s="1203"/>
      <c r="R90" s="1242"/>
      <c r="CP90" s="979"/>
      <c r="CQ90" s="979"/>
      <c r="CR90" s="1100"/>
      <c r="CS90" s="979"/>
    </row>
    <row r="91" spans="5:97" ht="18" hidden="1">
      <c r="E91" s="1048"/>
      <c r="F91" s="1203"/>
      <c r="G91" s="1309" t="s">
        <v>65</v>
      </c>
      <c r="H91" s="1203"/>
      <c r="I91" s="1203" t="s">
        <v>85</v>
      </c>
      <c r="J91" s="1203"/>
      <c r="K91" s="1203"/>
      <c r="L91" s="1310" t="s">
        <v>36</v>
      </c>
      <c r="M91" s="1203"/>
      <c r="N91" s="1311">
        <f>+J23</f>
        <v>59720</v>
      </c>
      <c r="O91" s="1203"/>
      <c r="P91" s="1203"/>
      <c r="Q91" s="1203"/>
      <c r="R91" s="1242"/>
      <c r="CP91" s="979"/>
      <c r="CQ91" s="979"/>
      <c r="CR91" s="1100"/>
      <c r="CS91" s="979"/>
    </row>
    <row r="92" spans="5:97" ht="18" hidden="1">
      <c r="E92" s="1048"/>
      <c r="F92" s="1203"/>
      <c r="G92" s="1309" t="s">
        <v>87</v>
      </c>
      <c r="H92" s="1203"/>
      <c r="I92" s="1203" t="s">
        <v>85</v>
      </c>
      <c r="J92" s="1203"/>
      <c r="K92" s="1203"/>
      <c r="L92" s="1310" t="s">
        <v>36</v>
      </c>
      <c r="M92" s="1203"/>
      <c r="N92" s="1311">
        <f>+K23</f>
        <v>31200</v>
      </c>
      <c r="O92" s="1203"/>
      <c r="P92" s="1203"/>
      <c r="Q92" s="1203"/>
      <c r="R92" s="1242"/>
      <c r="CP92" s="979"/>
      <c r="CQ92" s="979"/>
      <c r="CR92" s="1100"/>
      <c r="CS92" s="979"/>
    </row>
    <row r="93" spans="5:97" ht="18" hidden="1">
      <c r="E93" s="1048"/>
      <c r="F93" s="1203"/>
      <c r="G93" s="1309" t="s">
        <v>88</v>
      </c>
      <c r="H93" s="1203"/>
      <c r="I93" s="1203" t="s">
        <v>85</v>
      </c>
      <c r="J93" s="1203"/>
      <c r="K93" s="1203"/>
      <c r="L93" s="1310" t="s">
        <v>36</v>
      </c>
      <c r="M93" s="1203"/>
      <c r="N93" s="1311">
        <f>+L23</f>
        <v>6000</v>
      </c>
      <c r="O93" s="1203"/>
      <c r="P93" s="1203"/>
      <c r="Q93" s="1203"/>
      <c r="R93" s="1242"/>
      <c r="CP93" s="979"/>
      <c r="CQ93" s="979"/>
      <c r="CR93" s="1100"/>
      <c r="CS93" s="979"/>
    </row>
    <row r="94" spans="5:97" ht="18.75" hidden="1" thickBot="1">
      <c r="E94" s="1048"/>
      <c r="F94" s="1203"/>
      <c r="G94" s="1309" t="s">
        <v>89</v>
      </c>
      <c r="H94" s="1203"/>
      <c r="I94" s="1203" t="s">
        <v>85</v>
      </c>
      <c r="J94" s="1203"/>
      <c r="K94" s="1203"/>
      <c r="L94" s="1310" t="s">
        <v>36</v>
      </c>
      <c r="M94" s="1203"/>
      <c r="N94" s="1312">
        <f>SUM(N24:N28)+N21+N22</f>
        <v>12900</v>
      </c>
      <c r="O94" s="1203"/>
      <c r="P94" s="1203"/>
      <c r="Q94" s="1203"/>
      <c r="R94" s="1242"/>
      <c r="CP94" s="979"/>
      <c r="CQ94" s="979"/>
      <c r="CR94" s="1100"/>
      <c r="CS94" s="979"/>
    </row>
    <row r="95" spans="5:97" ht="18.75" hidden="1" thickBot="1">
      <c r="E95" s="1048"/>
      <c r="F95" s="1203"/>
      <c r="G95" s="1203"/>
      <c r="H95" s="1203"/>
      <c r="I95" s="1203"/>
      <c r="J95" s="1203"/>
      <c r="K95" s="1203"/>
      <c r="L95" s="1203"/>
      <c r="M95" s="1203"/>
      <c r="N95" s="1313">
        <f>SUM(N89:N94)</f>
        <v>418620</v>
      </c>
      <c r="O95" s="1240">
        <f>+N32</f>
        <v>31200</v>
      </c>
      <c r="P95" s="1203"/>
      <c r="Q95" s="1203"/>
      <c r="R95" s="1242"/>
      <c r="CP95" s="979"/>
      <c r="CQ95" s="979"/>
      <c r="CR95" s="1100"/>
      <c r="CS95" s="979"/>
    </row>
    <row r="96" spans="5:97" ht="18" hidden="1">
      <c r="E96" s="1113" t="s">
        <v>90</v>
      </c>
      <c r="F96" s="1203" t="s">
        <v>91</v>
      </c>
      <c r="G96" s="1203"/>
      <c r="H96" s="1203"/>
      <c r="I96" s="1203"/>
      <c r="J96" s="1203"/>
      <c r="K96" s="1203"/>
      <c r="L96" s="1310" t="s">
        <v>36</v>
      </c>
      <c r="M96" s="1203"/>
      <c r="N96" s="1240">
        <f>ROUND(S96*12,0)</f>
        <v>99600</v>
      </c>
      <c r="O96" s="1302"/>
      <c r="P96" s="1238"/>
      <c r="Q96" s="1203"/>
      <c r="R96" s="1239"/>
      <c r="S96" s="1314">
        <f>ROUND((ROUND((N98+N101+K29)/12,0))/100,0)*100</f>
        <v>8300</v>
      </c>
      <c r="U96" s="1202" t="e">
        <f>[2]!NUM2TEXT(+S96)</f>
        <v>#NAME?</v>
      </c>
      <c r="CP96" s="979"/>
      <c r="CQ96" s="979"/>
      <c r="CR96" s="1100"/>
      <c r="CS96" s="979"/>
    </row>
    <row r="97" spans="5:97" ht="18" hidden="1">
      <c r="E97" s="1113" t="s">
        <v>92</v>
      </c>
      <c r="F97" s="1203" t="s">
        <v>93</v>
      </c>
      <c r="G97" s="1203"/>
      <c r="H97" s="1203"/>
      <c r="I97" s="1203"/>
      <c r="J97" s="1203"/>
      <c r="K97" s="1203"/>
      <c r="L97" s="1310" t="s">
        <v>36</v>
      </c>
      <c r="M97" s="1203"/>
      <c r="N97" s="1240">
        <f>+N89+N90+N91</f>
        <v>368520</v>
      </c>
      <c r="O97" s="1302"/>
      <c r="P97" s="1238"/>
      <c r="Q97" s="1203"/>
      <c r="R97" s="1239"/>
      <c r="S97" s="1203"/>
      <c r="CP97" s="979"/>
      <c r="CQ97" s="979"/>
      <c r="CR97" s="1100"/>
      <c r="CS97" s="979"/>
    </row>
    <row r="98" spans="5:97" ht="18" hidden="1">
      <c r="E98" s="1113" t="s">
        <v>94</v>
      </c>
      <c r="F98" s="1203" t="s">
        <v>95</v>
      </c>
      <c r="G98" s="1203"/>
      <c r="H98" s="1203"/>
      <c r="I98" s="1203"/>
      <c r="J98" s="1203"/>
      <c r="K98" s="1203"/>
      <c r="L98" s="1310" t="s">
        <v>36</v>
      </c>
      <c r="M98" s="1238"/>
      <c r="N98" s="1240">
        <f>ROUND(N97*0.1,0)</f>
        <v>36852</v>
      </c>
      <c r="O98" s="1302"/>
      <c r="P98" s="1238"/>
      <c r="Q98" s="1203"/>
      <c r="R98" s="1239"/>
      <c r="S98" s="1203"/>
      <c r="CP98" s="979"/>
      <c r="CQ98" s="979"/>
      <c r="CR98" s="1100"/>
      <c r="CS98" s="979"/>
    </row>
    <row r="99" spans="5:97" ht="18" hidden="1">
      <c r="E99" s="1114" t="s">
        <v>98</v>
      </c>
      <c r="F99" s="1203"/>
      <c r="G99" s="1203"/>
      <c r="H99" s="1203"/>
      <c r="I99" s="1203"/>
      <c r="J99" s="1203"/>
      <c r="K99" s="1315" t="s">
        <v>96</v>
      </c>
      <c r="L99" s="1310" t="s">
        <v>36</v>
      </c>
      <c r="M99" s="1238"/>
      <c r="N99" s="1240">
        <f>+N96-N98</f>
        <v>62748</v>
      </c>
      <c r="O99" s="1238"/>
      <c r="P99" s="1238"/>
      <c r="Q99" s="1203"/>
      <c r="R99" s="1239"/>
      <c r="S99" s="1203"/>
      <c r="CP99" s="979"/>
      <c r="CQ99" s="979"/>
      <c r="CR99" s="1100"/>
      <c r="CS99" s="979"/>
    </row>
    <row r="100" spans="5:97" ht="18" hidden="1">
      <c r="E100" s="1114"/>
      <c r="F100" s="1203"/>
      <c r="G100" s="1203"/>
      <c r="H100" s="1203"/>
      <c r="I100" s="1203"/>
      <c r="J100" s="1203"/>
      <c r="K100" s="1203"/>
      <c r="L100" s="1310"/>
      <c r="M100" s="1238"/>
      <c r="N100" s="1316"/>
      <c r="O100" s="1238"/>
      <c r="P100" s="1203"/>
      <c r="Q100" s="1203"/>
      <c r="R100" s="1242"/>
      <c r="S100" s="1303"/>
      <c r="CP100" s="979"/>
      <c r="CQ100" s="979"/>
      <c r="CR100" s="1100"/>
      <c r="CS100" s="979"/>
    </row>
    <row r="101" spans="5:97" ht="18" hidden="1">
      <c r="E101" s="1114" t="s">
        <v>99</v>
      </c>
      <c r="F101" s="1203"/>
      <c r="G101" s="1203"/>
      <c r="H101" s="1203"/>
      <c r="I101" s="1203"/>
      <c r="J101" s="1203"/>
      <c r="K101" s="1203"/>
      <c r="L101" s="1310" t="s">
        <v>36</v>
      </c>
      <c r="M101" s="1203"/>
      <c r="N101" s="1240">
        <f>+N92</f>
        <v>31200</v>
      </c>
      <c r="O101" s="1203"/>
      <c r="P101" s="1203"/>
      <c r="Q101" s="1203"/>
      <c r="R101" s="1242"/>
      <c r="S101" s="1203"/>
      <c r="CP101" s="979"/>
      <c r="CQ101" s="979"/>
      <c r="CR101" s="1100"/>
      <c r="CS101" s="979"/>
    </row>
    <row r="102" spans="5:97" ht="18" hidden="1">
      <c r="E102" s="1114"/>
      <c r="F102" s="1203"/>
      <c r="G102" s="1203"/>
      <c r="H102" s="1203"/>
      <c r="I102" s="1203"/>
      <c r="J102" s="1203"/>
      <c r="K102" s="1203"/>
      <c r="L102" s="1310"/>
      <c r="M102" s="1203"/>
      <c r="N102" s="1240"/>
      <c r="O102" s="1203"/>
      <c r="P102" s="1203"/>
      <c r="Q102" s="1203"/>
      <c r="R102" s="1242"/>
      <c r="S102" s="1303"/>
      <c r="CP102" s="979"/>
      <c r="CQ102" s="979"/>
      <c r="CR102" s="1100"/>
      <c r="CS102" s="979"/>
    </row>
    <row r="103" spans="5:97" ht="18" hidden="1">
      <c r="E103" s="1114" t="s">
        <v>100</v>
      </c>
      <c r="F103" s="1203"/>
      <c r="G103" s="1203"/>
      <c r="H103" s="1203"/>
      <c r="I103" s="1203"/>
      <c r="J103" s="1203"/>
      <c r="K103" s="1203"/>
      <c r="L103" s="1310" t="s">
        <v>36</v>
      </c>
      <c r="M103" s="1203"/>
      <c r="N103" s="1240">
        <f>ROUND(N97*0.5,0)</f>
        <v>184260</v>
      </c>
      <c r="O103" s="1203"/>
      <c r="P103" s="1203"/>
      <c r="Q103" s="1203"/>
      <c r="R103" s="1242"/>
      <c r="S103" s="1203"/>
      <c r="CP103" s="979"/>
      <c r="CQ103" s="979"/>
      <c r="CR103" s="1100"/>
      <c r="CS103" s="979"/>
    </row>
    <row r="104" spans="5:97" ht="18" hidden="1">
      <c r="E104" s="1114"/>
      <c r="F104" s="1203"/>
      <c r="G104" s="1203"/>
      <c r="H104" s="1203"/>
      <c r="I104" s="1203"/>
      <c r="J104" s="1203"/>
      <c r="K104" s="1203"/>
      <c r="L104" s="1310" t="s">
        <v>36</v>
      </c>
      <c r="M104" s="1203"/>
      <c r="N104" s="1240"/>
      <c r="O104" s="1203"/>
      <c r="P104" s="1203"/>
      <c r="Q104" s="1203"/>
      <c r="R104" s="1242"/>
      <c r="CP104" s="979"/>
      <c r="CQ104" s="979"/>
      <c r="CR104" s="1100"/>
      <c r="CS104" s="979"/>
    </row>
    <row r="105" spans="5:97" ht="18" hidden="1">
      <c r="E105" s="1077" t="s">
        <v>101</v>
      </c>
      <c r="F105" s="1203"/>
      <c r="G105" s="1203"/>
      <c r="H105" s="1203"/>
      <c r="I105" s="1203"/>
      <c r="J105" s="1203"/>
      <c r="K105" s="1203"/>
      <c r="L105" s="1310" t="s">
        <v>36</v>
      </c>
      <c r="M105" s="1203"/>
      <c r="N105" s="1240">
        <f>MIN(N99,N101,N103)</f>
        <v>31200</v>
      </c>
      <c r="O105" s="1203"/>
      <c r="P105" s="1203"/>
      <c r="Q105" s="1203"/>
      <c r="R105" s="1242"/>
      <c r="CP105" s="979"/>
      <c r="CQ105" s="979"/>
      <c r="CR105" s="1100"/>
      <c r="CS105" s="979"/>
    </row>
    <row r="106" spans="5:97" ht="18" hidden="1">
      <c r="E106" s="1077"/>
      <c r="F106" s="1203"/>
      <c r="G106" s="1203"/>
      <c r="H106" s="1203"/>
      <c r="I106" s="1203"/>
      <c r="J106" s="1203"/>
      <c r="K106" s="1203"/>
      <c r="L106" s="1203"/>
      <c r="M106" s="1203"/>
      <c r="N106" s="1203"/>
      <c r="O106" s="1203"/>
      <c r="P106" s="1203"/>
      <c r="Q106" s="1203"/>
      <c r="R106" s="1242"/>
      <c r="CP106" s="979"/>
      <c r="CQ106" s="979"/>
      <c r="CR106" s="1100"/>
      <c r="CS106" s="979"/>
    </row>
    <row r="107" spans="5:97" ht="18" hidden="1">
      <c r="E107" s="1115" t="s">
        <v>97</v>
      </c>
      <c r="F107" s="1203"/>
      <c r="G107" s="1203"/>
      <c r="H107" s="1238"/>
      <c r="I107" s="1238"/>
      <c r="J107" s="1238"/>
      <c r="K107" s="1238"/>
      <c r="L107" s="1310" t="s">
        <v>36</v>
      </c>
      <c r="M107" s="1238"/>
      <c r="N107" s="1306" t="str">
        <f>B11</f>
        <v>Y</v>
      </c>
      <c r="O107" s="1238"/>
      <c r="P107" s="1238"/>
      <c r="Q107" s="1203"/>
      <c r="R107" s="1242"/>
      <c r="CP107" s="979"/>
      <c r="CQ107" s="979"/>
      <c r="CR107" s="1100"/>
      <c r="CS107" s="979"/>
    </row>
    <row r="108" spans="5:97" ht="18" hidden="1">
      <c r="E108" s="1116" t="s">
        <v>231</v>
      </c>
      <c r="F108" s="1203"/>
      <c r="G108" s="1203"/>
      <c r="H108" s="1238"/>
      <c r="I108" s="1238"/>
      <c r="J108" s="1238"/>
      <c r="K108" s="1238"/>
      <c r="L108" s="1238"/>
      <c r="M108" s="1238"/>
      <c r="N108" s="1238"/>
      <c r="O108" s="1238"/>
      <c r="P108" s="1238"/>
      <c r="Q108" s="1203"/>
      <c r="R108" s="1242"/>
      <c r="CP108" s="979"/>
      <c r="CQ108" s="979"/>
      <c r="CR108" s="1100"/>
      <c r="CS108" s="979"/>
    </row>
    <row r="109" spans="5:97" ht="18" hidden="1">
      <c r="E109" s="1593" t="s">
        <v>236</v>
      </c>
      <c r="F109" s="1594"/>
      <c r="G109" s="1594"/>
      <c r="H109" s="1594"/>
      <c r="I109" s="1594"/>
      <c r="J109" s="1594"/>
      <c r="K109" s="1594"/>
      <c r="L109" s="1594"/>
      <c r="M109" s="1594"/>
      <c r="N109" s="1594"/>
      <c r="O109" s="1594"/>
      <c r="P109" s="1594"/>
      <c r="Q109" s="1594"/>
      <c r="R109" s="1242"/>
      <c r="CP109" s="979"/>
      <c r="CQ109" s="979"/>
      <c r="CR109" s="1100"/>
      <c r="CS109" s="979"/>
    </row>
    <row r="110" spans="5:97" ht="12.75" hidden="1">
      <c r="E110" s="1593"/>
      <c r="F110" s="1594"/>
      <c r="G110" s="1594"/>
      <c r="H110" s="1594"/>
      <c r="I110" s="1594"/>
      <c r="J110" s="1594"/>
      <c r="K110" s="1594"/>
      <c r="L110" s="1594"/>
      <c r="M110" s="1594"/>
      <c r="N110" s="1594"/>
      <c r="O110" s="1594"/>
      <c r="P110" s="1594"/>
      <c r="Q110" s="1594"/>
      <c r="R110" s="1242"/>
      <c r="CP110" s="979"/>
      <c r="CQ110" s="979"/>
      <c r="CR110" s="979"/>
      <c r="CS110" s="979"/>
    </row>
    <row r="111" spans="5:18" ht="13.5" hidden="1" thickBot="1">
      <c r="E111" s="1115"/>
      <c r="F111" s="1203"/>
      <c r="G111" s="1203"/>
      <c r="H111" s="1238"/>
      <c r="I111" s="1238"/>
      <c r="J111" s="1238"/>
      <c r="K111" s="1238"/>
      <c r="L111" s="1238"/>
      <c r="M111" s="1238"/>
      <c r="N111" s="1238"/>
      <c r="O111" s="1238"/>
      <c r="P111" s="1238"/>
      <c r="Q111" s="1203"/>
      <c r="R111" s="1242"/>
    </row>
    <row r="112" spans="5:18" ht="12.75" hidden="1">
      <c r="E112" s="1048"/>
      <c r="F112" s="1317">
        <v>1</v>
      </c>
      <c r="G112" s="1318" t="str">
        <f>+H36</f>
        <v>INTEREST ON H.B.A.</v>
      </c>
      <c r="H112" s="1318"/>
      <c r="I112" s="1318"/>
      <c r="J112" s="1318"/>
      <c r="K112" s="1318"/>
      <c r="L112" s="1319"/>
      <c r="M112" s="1320" t="s">
        <v>36</v>
      </c>
      <c r="N112" s="1321">
        <f>+N36</f>
        <v>0</v>
      </c>
      <c r="O112" s="1595"/>
      <c r="P112" s="1596"/>
      <c r="Q112" s="1597"/>
      <c r="R112" s="1242"/>
    </row>
    <row r="113" spans="5:18" ht="12.75" hidden="1">
      <c r="E113" s="1048"/>
      <c r="F113" s="1322">
        <v>2</v>
      </c>
      <c r="G113" s="1203" t="str">
        <f>+H38</f>
        <v>80-D MEDICIAL INSURANCE</v>
      </c>
      <c r="H113" s="1203"/>
      <c r="I113" s="1203"/>
      <c r="J113" s="1203"/>
      <c r="K113" s="1203"/>
      <c r="L113" s="1238"/>
      <c r="M113" s="1256" t="s">
        <v>36</v>
      </c>
      <c r="N113" s="1323">
        <f>+N38</f>
        <v>0</v>
      </c>
      <c r="O113" s="1580"/>
      <c r="P113" s="1581"/>
      <c r="Q113" s="1582"/>
      <c r="R113" s="1242"/>
    </row>
    <row r="114" spans="5:18" ht="13.5" hidden="1" thickBot="1">
      <c r="E114" s="1048"/>
      <c r="F114" s="1324">
        <v>3</v>
      </c>
      <c r="G114" s="1325" t="str">
        <f>+H40</f>
        <v>TECH.EDUCATION INTEREST</v>
      </c>
      <c r="H114" s="1325"/>
      <c r="I114" s="1325"/>
      <c r="J114" s="1325"/>
      <c r="K114" s="1325"/>
      <c r="L114" s="1326"/>
      <c r="M114" s="1327" t="s">
        <v>36</v>
      </c>
      <c r="N114" s="1328">
        <f>+N40</f>
        <v>0</v>
      </c>
      <c r="O114" s="1583">
        <f>+N112+N113+N114</f>
        <v>0</v>
      </c>
      <c r="P114" s="1584"/>
      <c r="Q114" s="1585"/>
      <c r="R114" s="1242"/>
    </row>
    <row r="115" spans="5:18" ht="12.75" hidden="1">
      <c r="E115" s="1048"/>
      <c r="F115" s="1317">
        <v>1</v>
      </c>
      <c r="G115" s="1318" t="str">
        <f aca="true" t="shared" si="25" ref="G115:G120">+Q34</f>
        <v>PPF Subscription</v>
      </c>
      <c r="H115" s="1318"/>
      <c r="I115" s="1318"/>
      <c r="J115" s="1318"/>
      <c r="K115" s="1318"/>
      <c r="L115" s="1319"/>
      <c r="M115" s="1320" t="s">
        <v>36</v>
      </c>
      <c r="N115" s="1321">
        <f aca="true" t="shared" si="26" ref="N115:N120">+U34</f>
        <v>0</v>
      </c>
      <c r="O115" s="1318"/>
      <c r="P115" s="1318"/>
      <c r="Q115" s="1329"/>
      <c r="R115" s="1242"/>
    </row>
    <row r="116" spans="5:18" ht="12.75" hidden="1">
      <c r="E116" s="1048"/>
      <c r="F116" s="1330">
        <v>2</v>
      </c>
      <c r="G116" s="1331" t="str">
        <f t="shared" si="25"/>
        <v>PLI Subscription</v>
      </c>
      <c r="H116" s="1331"/>
      <c r="I116" s="1331"/>
      <c r="J116" s="1331"/>
      <c r="K116" s="1331"/>
      <c r="L116" s="1332"/>
      <c r="M116" s="1261" t="s">
        <v>36</v>
      </c>
      <c r="N116" s="1333">
        <f t="shared" si="26"/>
        <v>0</v>
      </c>
      <c r="O116" s="1331"/>
      <c r="P116" s="1331"/>
      <c r="Q116" s="1334"/>
      <c r="R116" s="1242"/>
    </row>
    <row r="117" spans="5:18" ht="12.75" hidden="1">
      <c r="E117" s="1048"/>
      <c r="F117" s="1330">
        <v>3</v>
      </c>
      <c r="G117" s="1331" t="str">
        <f t="shared" si="25"/>
        <v>LIC Subscription</v>
      </c>
      <c r="H117" s="1331"/>
      <c r="I117" s="1331"/>
      <c r="J117" s="1331"/>
      <c r="K117" s="1331"/>
      <c r="L117" s="1332"/>
      <c r="M117" s="1261" t="s">
        <v>36</v>
      </c>
      <c r="N117" s="1333">
        <f t="shared" si="26"/>
        <v>0</v>
      </c>
      <c r="O117" s="1331"/>
      <c r="P117" s="1331"/>
      <c r="Q117" s="1334"/>
      <c r="R117" s="1242"/>
    </row>
    <row r="118" spans="5:18" ht="12.75" hidden="1">
      <c r="E118" s="1048"/>
      <c r="F118" s="1330">
        <v>4</v>
      </c>
      <c r="G118" s="1331" t="str">
        <f t="shared" si="25"/>
        <v>Tution Fees</v>
      </c>
      <c r="H118" s="1331"/>
      <c r="I118" s="1331"/>
      <c r="J118" s="1331"/>
      <c r="K118" s="1331"/>
      <c r="L118" s="1332"/>
      <c r="M118" s="1261" t="s">
        <v>36</v>
      </c>
      <c r="N118" s="1333">
        <f t="shared" si="26"/>
        <v>0</v>
      </c>
      <c r="O118" s="1331"/>
      <c r="P118" s="1331"/>
      <c r="Q118" s="1334"/>
      <c r="R118" s="1242"/>
    </row>
    <row r="119" spans="5:18" ht="12.75" hidden="1">
      <c r="E119" s="1048"/>
      <c r="F119" s="1330">
        <v>5</v>
      </c>
      <c r="G119" s="1331" t="str">
        <f t="shared" si="25"/>
        <v>ICICI Prudential</v>
      </c>
      <c r="H119" s="1331"/>
      <c r="I119" s="1331"/>
      <c r="J119" s="1331"/>
      <c r="K119" s="1331"/>
      <c r="L119" s="1332"/>
      <c r="M119" s="1261" t="s">
        <v>36</v>
      </c>
      <c r="N119" s="1333">
        <f t="shared" si="26"/>
        <v>0</v>
      </c>
      <c r="O119" s="1331"/>
      <c r="P119" s="1331"/>
      <c r="Q119" s="1334"/>
      <c r="R119" s="1242"/>
    </row>
    <row r="120" spans="5:18" ht="13.5" hidden="1" thickBot="1">
      <c r="E120" s="1048"/>
      <c r="F120" s="1324">
        <v>6</v>
      </c>
      <c r="G120" s="1325" t="str">
        <f t="shared" si="25"/>
        <v>Refund of loan for H.B.A.</v>
      </c>
      <c r="H120" s="1325"/>
      <c r="I120" s="1325"/>
      <c r="J120" s="1325"/>
      <c r="K120" s="1325"/>
      <c r="L120" s="1326"/>
      <c r="M120" s="1327" t="s">
        <v>36</v>
      </c>
      <c r="N120" s="1328">
        <f t="shared" si="26"/>
        <v>0</v>
      </c>
      <c r="O120" s="1325"/>
      <c r="P120" s="1325"/>
      <c r="Q120" s="1335"/>
      <c r="R120" s="1242"/>
    </row>
    <row r="121" spans="5:18" ht="13.5" hidden="1" thickBot="1">
      <c r="E121" s="1048"/>
      <c r="F121" s="1336">
        <v>7</v>
      </c>
      <c r="G121" s="1337" t="str">
        <f>+AT17</f>
        <v>INFRASTRUCTURE BOND</v>
      </c>
      <c r="H121" s="1337"/>
      <c r="I121" s="1337"/>
      <c r="J121" s="1337"/>
      <c r="K121" s="1337"/>
      <c r="L121" s="1338"/>
      <c r="M121" s="1339" t="s">
        <v>36</v>
      </c>
      <c r="N121" s="1340">
        <f>+U43</f>
        <v>0</v>
      </c>
      <c r="O121" s="1586">
        <f>+N115+N116+N117+N118+N119+N120</f>
        <v>0</v>
      </c>
      <c r="P121" s="1587"/>
      <c r="Q121" s="1588"/>
      <c r="R121" s="1242"/>
    </row>
    <row r="122" spans="5:18" ht="12.75" hidden="1">
      <c r="E122" s="1048"/>
      <c r="F122" s="1315"/>
      <c r="G122" s="1203"/>
      <c r="H122" s="1203"/>
      <c r="I122" s="1203"/>
      <c r="J122" s="1203"/>
      <c r="K122" s="1203"/>
      <c r="L122" s="1238"/>
      <c r="M122" s="1306"/>
      <c r="N122" s="1303"/>
      <c r="O122" s="1203"/>
      <c r="P122" s="1203"/>
      <c r="Q122" s="1203"/>
      <c r="R122" s="1242"/>
    </row>
    <row r="123" spans="5:18" ht="12.75" hidden="1">
      <c r="E123" s="1048"/>
      <c r="F123" s="1315"/>
      <c r="G123" s="1203"/>
      <c r="H123" s="1203"/>
      <c r="I123" s="1203"/>
      <c r="J123" s="1203"/>
      <c r="K123" s="1203"/>
      <c r="L123" s="1238"/>
      <c r="M123" s="1306"/>
      <c r="N123" s="1303"/>
      <c r="O123" s="1203"/>
      <c r="P123" s="1203"/>
      <c r="Q123" s="1203"/>
      <c r="R123" s="1242"/>
    </row>
    <row r="124" spans="5:18" ht="13.5" hidden="1" thickBot="1">
      <c r="E124" s="1033"/>
      <c r="F124" s="1341"/>
      <c r="G124" s="1341"/>
      <c r="H124" s="1341"/>
      <c r="I124" s="1341"/>
      <c r="J124" s="1341"/>
      <c r="K124" s="1341"/>
      <c r="L124" s="1341"/>
      <c r="M124" s="1245" t="s">
        <v>50</v>
      </c>
      <c r="N124" s="1341"/>
      <c r="O124" s="1341"/>
      <c r="P124" s="1341"/>
      <c r="Q124" s="1341"/>
      <c r="R124" s="1342"/>
    </row>
    <row r="125" ht="12.75" hidden="1"/>
    <row r="126" ht="12.75" customHeight="1" hidden="1"/>
    <row r="127" ht="12.75" customHeight="1" hidden="1"/>
    <row r="128" ht="18" customHeight="1" hidden="1">
      <c r="B128" s="1347">
        <v>1</v>
      </c>
    </row>
    <row r="129" ht="18" customHeight="1" hidden="1">
      <c r="B129" s="1347">
        <v>4</v>
      </c>
    </row>
    <row r="130" ht="18" customHeight="1" hidden="1">
      <c r="B130" s="1347">
        <v>7</v>
      </c>
    </row>
    <row r="131" ht="18" customHeight="1" hidden="1">
      <c r="B131" s="1347">
        <v>10</v>
      </c>
    </row>
    <row r="132" ht="12.75" customHeight="1" hidden="1"/>
    <row r="133" ht="18" customHeight="1" hidden="1">
      <c r="B133" s="1347" t="s">
        <v>6</v>
      </c>
    </row>
    <row r="134" ht="18" customHeight="1" hidden="1">
      <c r="B134" s="1347" t="s">
        <v>8</v>
      </c>
    </row>
    <row r="135" ht="12.75" customHeight="1" hidden="1"/>
    <row r="136" ht="18" customHeight="1" hidden="1">
      <c r="B136" s="1347" t="s">
        <v>70</v>
      </c>
    </row>
    <row r="137" ht="18" customHeight="1" hidden="1">
      <c r="B137" s="1347" t="s">
        <v>72</v>
      </c>
    </row>
    <row r="138" ht="12.75" customHeight="1" hidden="1"/>
    <row r="139" ht="12.75" customHeight="1" hidden="1"/>
    <row r="140" ht="15.75" customHeight="1" hidden="1">
      <c r="B140" s="1348">
        <v>0</v>
      </c>
    </row>
    <row r="141" ht="15.75" customHeight="1" hidden="1">
      <c r="B141" s="1348">
        <v>3</v>
      </c>
    </row>
    <row r="142" ht="15.75" customHeight="1" hidden="1">
      <c r="B142" s="1348">
        <f>+B141+1</f>
        <v>4</v>
      </c>
    </row>
    <row r="143" ht="15.75" customHeight="1" hidden="1">
      <c r="B143" s="1348">
        <f aca="true" t="shared" si="27" ref="B143:B154">+B142+1</f>
        <v>5</v>
      </c>
    </row>
    <row r="144" ht="15.75" customHeight="1" hidden="1">
      <c r="B144" s="1348">
        <f t="shared" si="27"/>
        <v>6</v>
      </c>
    </row>
    <row r="145" ht="15.75" customHeight="1" hidden="1">
      <c r="B145" s="1348">
        <f t="shared" si="27"/>
        <v>7</v>
      </c>
    </row>
    <row r="146" ht="15.75" customHeight="1" hidden="1">
      <c r="B146" s="1348">
        <f t="shared" si="27"/>
        <v>8</v>
      </c>
    </row>
    <row r="147" ht="15.75" customHeight="1" hidden="1">
      <c r="B147" s="1348">
        <f t="shared" si="27"/>
        <v>9</v>
      </c>
    </row>
    <row r="148" ht="15.75" customHeight="1" hidden="1">
      <c r="B148" s="1348">
        <f t="shared" si="27"/>
        <v>10</v>
      </c>
    </row>
    <row r="149" ht="15.75" customHeight="1" hidden="1">
      <c r="B149" s="1348">
        <f t="shared" si="27"/>
        <v>11</v>
      </c>
    </row>
    <row r="150" ht="15.75" customHeight="1" hidden="1">
      <c r="B150" s="1348">
        <f t="shared" si="27"/>
        <v>12</v>
      </c>
    </row>
    <row r="151" ht="12.75" customHeight="1" hidden="1"/>
    <row r="152" ht="15.75" customHeight="1" hidden="1">
      <c r="B152" s="1348">
        <v>0</v>
      </c>
    </row>
    <row r="153" ht="15.75" customHeight="1" hidden="1">
      <c r="B153" s="1348">
        <f t="shared" si="27"/>
        <v>1</v>
      </c>
    </row>
    <row r="154" ht="15.75" customHeight="1" hidden="1">
      <c r="B154" s="1348">
        <f t="shared" si="27"/>
        <v>2</v>
      </c>
    </row>
    <row r="155" ht="15.75" customHeight="1" hidden="1">
      <c r="B155" s="1348"/>
    </row>
    <row r="156" ht="15.75" customHeight="1" hidden="1">
      <c r="B156" s="1348" t="s">
        <v>234</v>
      </c>
    </row>
    <row r="157" ht="15.75" customHeight="1" hidden="1">
      <c r="B157" s="1348" t="s">
        <v>235</v>
      </c>
    </row>
    <row r="158" ht="12.75" customHeight="1" hidden="1"/>
    <row r="159" spans="1:2" ht="13.5" customHeight="1" hidden="1">
      <c r="A159" s="1382" t="s">
        <v>71</v>
      </c>
      <c r="B159" s="1349">
        <v>0</v>
      </c>
    </row>
    <row r="160" spans="1:2" ht="12.75" customHeight="1" hidden="1">
      <c r="A160" s="1383">
        <v>1</v>
      </c>
      <c r="B160" s="1350">
        <v>1900</v>
      </c>
    </row>
    <row r="161" spans="1:2" ht="12.75" customHeight="1" hidden="1">
      <c r="A161" s="1384">
        <f>+A160+1</f>
        <v>2</v>
      </c>
      <c r="B161" s="1351">
        <v>2200</v>
      </c>
    </row>
    <row r="162" spans="1:2" ht="12.75" customHeight="1" hidden="1">
      <c r="A162" s="1384">
        <f aca="true" t="shared" si="28" ref="A162:A170">+A161+1</f>
        <v>3</v>
      </c>
      <c r="B162" s="1351">
        <v>2500</v>
      </c>
    </row>
    <row r="163" spans="1:2" ht="12.75" customHeight="1" hidden="1">
      <c r="A163" s="1384">
        <f t="shared" si="28"/>
        <v>4</v>
      </c>
      <c r="B163" s="1351">
        <v>2800</v>
      </c>
    </row>
    <row r="164" spans="1:2" ht="12.75" customHeight="1" hidden="1">
      <c r="A164" s="1384">
        <f t="shared" si="28"/>
        <v>5</v>
      </c>
      <c r="B164" s="1351">
        <v>4300</v>
      </c>
    </row>
    <row r="165" spans="1:2" ht="12.75" customHeight="1" hidden="1">
      <c r="A165" s="1384">
        <f t="shared" si="28"/>
        <v>6</v>
      </c>
      <c r="B165" s="1351">
        <v>5100</v>
      </c>
    </row>
    <row r="166" spans="1:2" ht="12.75" customHeight="1" hidden="1">
      <c r="A166" s="1384">
        <f t="shared" si="28"/>
        <v>7</v>
      </c>
      <c r="B166" s="1351">
        <v>5400</v>
      </c>
    </row>
    <row r="167" spans="1:2" ht="12.75" customHeight="1" hidden="1">
      <c r="A167" s="1384">
        <f t="shared" si="28"/>
        <v>8</v>
      </c>
      <c r="B167" s="1351">
        <v>6100</v>
      </c>
    </row>
    <row r="168" spans="1:2" ht="12.75" customHeight="1" hidden="1">
      <c r="A168" s="1384">
        <f t="shared" si="28"/>
        <v>9</v>
      </c>
      <c r="B168" s="1351">
        <v>6200</v>
      </c>
    </row>
    <row r="169" spans="1:2" ht="12.75" customHeight="1" hidden="1">
      <c r="A169" s="1384">
        <f t="shared" si="28"/>
        <v>10</v>
      </c>
      <c r="B169" s="1351">
        <v>7000</v>
      </c>
    </row>
    <row r="170" spans="1:2" ht="12.75" customHeight="1" hidden="1">
      <c r="A170" s="1384">
        <f t="shared" si="28"/>
        <v>11</v>
      </c>
      <c r="B170" s="1351">
        <v>8700</v>
      </c>
    </row>
    <row r="171" spans="1:2" ht="12.75" customHeight="1" hidden="1">
      <c r="A171" s="1384">
        <v>12</v>
      </c>
      <c r="B171" s="1351">
        <v>4300</v>
      </c>
    </row>
    <row r="172" spans="1:2" ht="12.75" customHeight="1" hidden="1">
      <c r="A172" s="1384">
        <v>13</v>
      </c>
      <c r="B172" s="1351">
        <v>2900</v>
      </c>
    </row>
    <row r="173" spans="1:2" ht="12.75" customHeight="1" hidden="1">
      <c r="A173" s="1384">
        <v>14</v>
      </c>
      <c r="B173" s="1351">
        <v>9500</v>
      </c>
    </row>
    <row r="174" spans="1:2" ht="13.5" customHeight="1" hidden="1">
      <c r="A174" s="1385">
        <v>15</v>
      </c>
      <c r="B174" s="1352">
        <v>1400</v>
      </c>
    </row>
    <row r="175" spans="1:2" ht="13.5" customHeight="1" hidden="1">
      <c r="A175" s="1385">
        <v>16</v>
      </c>
      <c r="B175" s="1352">
        <v>300</v>
      </c>
    </row>
    <row r="176" ht="12.75" customHeight="1" hidden="1"/>
    <row r="177" ht="12.75" customHeight="1" hidden="1"/>
    <row r="178" ht="12.75" customHeight="1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</sheetData>
  <sheetProtection/>
  <mergeCells count="106">
    <mergeCell ref="O113:Q113"/>
    <mergeCell ref="O114:Q114"/>
    <mergeCell ref="O121:Q121"/>
    <mergeCell ref="D60:E60"/>
    <mergeCell ref="A63:A70"/>
    <mergeCell ref="B63:E63"/>
    <mergeCell ref="E87:R87"/>
    <mergeCell ref="E109:Q110"/>
    <mergeCell ref="O112:Q112"/>
    <mergeCell ref="L66:M66"/>
    <mergeCell ref="D57:E57"/>
    <mergeCell ref="G57:U57"/>
    <mergeCell ref="D58:E58"/>
    <mergeCell ref="G58:U58"/>
    <mergeCell ref="D59:E59"/>
    <mergeCell ref="G59:U59"/>
    <mergeCell ref="Q54:S54"/>
    <mergeCell ref="D55:E55"/>
    <mergeCell ref="H55:M55"/>
    <mergeCell ref="Q55:T55"/>
    <mergeCell ref="D56:E56"/>
    <mergeCell ref="H56:M56"/>
    <mergeCell ref="Q56:T56"/>
    <mergeCell ref="H51:M51"/>
    <mergeCell ref="Q51:R51"/>
    <mergeCell ref="H52:M52"/>
    <mergeCell ref="Q52:S52"/>
    <mergeCell ref="A53:A60"/>
    <mergeCell ref="B53:E53"/>
    <mergeCell ref="H53:M53"/>
    <mergeCell ref="Q53:T53"/>
    <mergeCell ref="D54:E54"/>
    <mergeCell ref="H54:M54"/>
    <mergeCell ref="H48:M48"/>
    <mergeCell ref="Q48:S48"/>
    <mergeCell ref="H49:M49"/>
    <mergeCell ref="Q49:S49"/>
    <mergeCell ref="H50:M50"/>
    <mergeCell ref="Q50:S50"/>
    <mergeCell ref="H45:L45"/>
    <mergeCell ref="Q45:T45"/>
    <mergeCell ref="H46:M46"/>
    <mergeCell ref="Q46:T46"/>
    <mergeCell ref="H47:M47"/>
    <mergeCell ref="Q47:T47"/>
    <mergeCell ref="H42:L42"/>
    <mergeCell ref="Q42:S42"/>
    <mergeCell ref="H43:M43"/>
    <mergeCell ref="Q43:S43"/>
    <mergeCell ref="H44:M44"/>
    <mergeCell ref="Q44:T44"/>
    <mergeCell ref="H39:I39"/>
    <mergeCell ref="J39:M39"/>
    <mergeCell ref="Q39:S39"/>
    <mergeCell ref="H40:L40"/>
    <mergeCell ref="Q40:S40"/>
    <mergeCell ref="H41:M41"/>
    <mergeCell ref="Q41:T41"/>
    <mergeCell ref="H36:L36"/>
    <mergeCell ref="H37:I37"/>
    <mergeCell ref="J37:M37"/>
    <mergeCell ref="Q37:S37"/>
    <mergeCell ref="H38:L38"/>
    <mergeCell ref="Q38:S38"/>
    <mergeCell ref="H33:M33"/>
    <mergeCell ref="Q33:S33"/>
    <mergeCell ref="H34:L34"/>
    <mergeCell ref="Q34:S34"/>
    <mergeCell ref="L35:M35"/>
    <mergeCell ref="Q35:S35"/>
    <mergeCell ref="O24:U24"/>
    <mergeCell ref="H30:M30"/>
    <mergeCell ref="Q30:T30"/>
    <mergeCell ref="H31:M31"/>
    <mergeCell ref="Q31:S31"/>
    <mergeCell ref="H32:L32"/>
    <mergeCell ref="Q32:S32"/>
    <mergeCell ref="AA12:AB12"/>
    <mergeCell ref="AT22:AV22"/>
    <mergeCell ref="L6:L7"/>
    <mergeCell ref="M6:M7"/>
    <mergeCell ref="N6:N7"/>
    <mergeCell ref="Q6:Q7"/>
    <mergeCell ref="BY6:CD6"/>
    <mergeCell ref="CG6:CH6"/>
    <mergeCell ref="A10:A11"/>
    <mergeCell ref="J6:J7"/>
    <mergeCell ref="K6:K7"/>
    <mergeCell ref="R6:R7"/>
    <mergeCell ref="S6:S7"/>
    <mergeCell ref="F1:V1"/>
    <mergeCell ref="F2:V2"/>
    <mergeCell ref="P3:U3"/>
    <mergeCell ref="P4:U4"/>
    <mergeCell ref="F6:F7"/>
    <mergeCell ref="G6:G7"/>
    <mergeCell ref="H6:H7"/>
    <mergeCell ref="I6:I7"/>
    <mergeCell ref="T6:T7"/>
    <mergeCell ref="H65:M65"/>
    <mergeCell ref="O66:P66"/>
    <mergeCell ref="Q66:R66"/>
    <mergeCell ref="S66:T66"/>
    <mergeCell ref="O65:P65"/>
    <mergeCell ref="Q65:R65"/>
    <mergeCell ref="S65:T65"/>
  </mergeCells>
  <dataValidations count="6">
    <dataValidation type="list" allowBlank="1" showInputMessage="1" showErrorMessage="1" sqref="B25">
      <formula1>$B$136:$B$137</formula1>
    </dataValidation>
    <dataValidation type="list" allowBlank="1" showInputMessage="1" showErrorMessage="1" sqref="B8">
      <formula1>$B$128:$B$131</formula1>
    </dataValidation>
    <dataValidation type="list" allowBlank="1" showInputMessage="1" showErrorMessage="1" sqref="B20:B21 B11">
      <formula1>$B$156:$B$157</formula1>
    </dataValidation>
    <dataValidation type="list" allowBlank="1" showInputMessage="1" showErrorMessage="1" sqref="B16 B18:B19">
      <formula1>$B$152:$B$154</formula1>
    </dataValidation>
    <dataValidation type="list" allowBlank="1" showInputMessage="1" showErrorMessage="1" sqref="B15">
      <formula1>$B$140:$B$150</formula1>
    </dataValidation>
    <dataValidation type="list" allowBlank="1" showInputMessage="1" showErrorMessage="1" sqref="N69">
      <formula1>$Z$68:$Z$69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CT175"/>
  <sheetViews>
    <sheetView zoomScalePageLayoutView="0" workbookViewId="0" topLeftCell="A1">
      <selection activeCell="O27" sqref="O27"/>
    </sheetView>
  </sheetViews>
  <sheetFormatPr defaultColWidth="9.140625" defaultRowHeight="12.75"/>
  <cols>
    <col min="1" max="1" width="3.00390625" style="0" customWidth="1"/>
    <col min="2" max="2" width="25.00390625" style="0" hidden="1" customWidth="1"/>
    <col min="3" max="3" width="21.57421875" style="0" hidden="1" customWidth="1"/>
    <col min="4" max="4" width="11.57421875" style="0" hidden="1" customWidth="1"/>
    <col min="5" max="5" width="9.140625" style="0" hidden="1" customWidth="1"/>
    <col min="6" max="6" width="12.140625" style="0" hidden="1" customWidth="1"/>
    <col min="7" max="7" width="5.57421875" style="0" hidden="1" customWidth="1"/>
    <col min="8" max="8" width="8.140625" style="0" customWidth="1"/>
    <col min="9" max="9" width="7.28125" style="0" customWidth="1"/>
    <col min="10" max="10" width="5.140625" style="0" customWidth="1"/>
    <col min="11" max="11" width="7.8515625" style="0" customWidth="1"/>
    <col min="12" max="12" width="6.8515625" style="0" customWidth="1"/>
    <col min="13" max="13" width="5.8515625" style="0" customWidth="1"/>
    <col min="14" max="14" width="3.00390625" style="0" customWidth="1"/>
    <col min="15" max="15" width="9.7109375" style="0" customWidth="1"/>
    <col min="16" max="16" width="6.7109375" style="0" customWidth="1"/>
    <col min="17" max="17" width="6.140625" style="0" customWidth="1"/>
    <col min="18" max="18" width="5.8515625" style="0" customWidth="1"/>
    <col min="19" max="19" width="7.140625" style="0" customWidth="1"/>
    <col min="20" max="20" width="8.8515625" style="0" customWidth="1"/>
    <col min="21" max="21" width="7.8515625" style="0" customWidth="1"/>
    <col min="22" max="22" width="9.28125" style="0" customWidth="1"/>
    <col min="23" max="23" width="7.421875" style="388" customWidth="1"/>
    <col min="24" max="24" width="13.00390625" style="0" hidden="1" customWidth="1"/>
    <col min="25" max="25" width="10.57421875" style="0" hidden="1" customWidth="1"/>
    <col min="26" max="26" width="10.8515625" style="0" hidden="1" customWidth="1"/>
    <col min="27" max="27" width="9.57421875" style="0" hidden="1" customWidth="1"/>
    <col min="28" max="28" width="9.140625" style="0" hidden="1" customWidth="1"/>
    <col min="29" max="29" width="9.57421875" style="0" hidden="1" customWidth="1"/>
    <col min="30" max="33" width="9.140625" style="0" hidden="1" customWidth="1"/>
    <col min="34" max="39" width="9.57421875" style="0" hidden="1" customWidth="1"/>
    <col min="40" max="40" width="12.28125" style="0" hidden="1" customWidth="1"/>
    <col min="41" max="41" width="9.57421875" style="0" hidden="1" customWidth="1"/>
    <col min="42" max="42" width="9.140625" style="0" hidden="1" customWidth="1"/>
    <col min="43" max="43" width="10.8515625" style="0" hidden="1" customWidth="1"/>
    <col min="44" max="50" width="9.140625" style="0" hidden="1" customWidth="1"/>
    <col min="51" max="51" width="11.28125" style="0" hidden="1" customWidth="1"/>
    <col min="52" max="98" width="9.140625" style="0" hidden="1" customWidth="1"/>
    <col min="99" max="102" width="9.140625" style="0" customWidth="1"/>
  </cols>
  <sheetData>
    <row r="1" spans="2:62" ht="23.25">
      <c r="B1" s="16" t="s">
        <v>0</v>
      </c>
      <c r="C1" s="16" t="str">
        <f>+WORKING!B1</f>
        <v>S.BALAJI</v>
      </c>
      <c r="E1" s="94" t="s">
        <v>68</v>
      </c>
      <c r="F1" s="18"/>
      <c r="G1" s="1664" t="s">
        <v>243</v>
      </c>
      <c r="H1" s="1664"/>
      <c r="I1" s="1664"/>
      <c r="J1" s="1664"/>
      <c r="K1" s="1664"/>
      <c r="L1" s="1664"/>
      <c r="M1" s="1664"/>
      <c r="N1" s="1664"/>
      <c r="O1" s="1664"/>
      <c r="P1" s="1664"/>
      <c r="Q1" s="1664"/>
      <c r="R1" s="1664"/>
      <c r="S1" s="1664"/>
      <c r="T1" s="1664"/>
      <c r="U1" s="1664"/>
      <c r="V1" s="1664"/>
      <c r="W1" s="1664"/>
      <c r="AB1" s="106"/>
      <c r="AC1" s="107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</row>
    <row r="2" spans="2:87" s="10" customFormat="1" ht="18.75" customHeight="1">
      <c r="B2" s="105" t="s">
        <v>7</v>
      </c>
      <c r="C2" s="16" t="str">
        <f>+WORKING!B2</f>
        <v>JE-II</v>
      </c>
      <c r="E2" s="95" t="s">
        <v>69</v>
      </c>
      <c r="G2" s="1665" t="s">
        <v>442</v>
      </c>
      <c r="H2" s="1665"/>
      <c r="I2" s="1665"/>
      <c r="J2" s="1665"/>
      <c r="K2" s="1665"/>
      <c r="L2" s="1665"/>
      <c r="M2" s="1665"/>
      <c r="N2" s="1665"/>
      <c r="O2" s="1665"/>
      <c r="P2" s="1665"/>
      <c r="Q2" s="1665"/>
      <c r="R2" s="1665"/>
      <c r="S2" s="1665"/>
      <c r="T2" s="1665"/>
      <c r="U2" s="1665"/>
      <c r="V2" s="1665"/>
      <c r="W2" s="1665"/>
      <c r="AB2" s="108"/>
      <c r="AC2" s="109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6"/>
      <c r="BC2" s="106"/>
      <c r="BD2" s="106"/>
      <c r="BE2" s="106"/>
      <c r="BF2" s="106"/>
      <c r="BG2" s="106"/>
      <c r="BH2" s="108"/>
      <c r="BI2" s="108"/>
      <c r="BJ2" s="108"/>
      <c r="BZ2"/>
      <c r="CA2"/>
      <c r="CB2"/>
      <c r="CC2"/>
      <c r="CD2"/>
      <c r="CE2"/>
      <c r="CF2"/>
      <c r="CG2"/>
      <c r="CH2"/>
      <c r="CI2"/>
    </row>
    <row r="3" spans="2:62" ht="16.5" thickBot="1">
      <c r="B3" s="16" t="s">
        <v>1</v>
      </c>
      <c r="C3" s="16" t="str">
        <f>+WORKING!B3</f>
        <v>110KV NANDANAM SS</v>
      </c>
      <c r="E3" s="95" t="str">
        <f>+WORKING!B25</f>
        <v>S</v>
      </c>
      <c r="H3" s="13" t="s">
        <v>9</v>
      </c>
      <c r="I3" s="13" t="str">
        <f>+C1</f>
        <v>S.BALAJI</v>
      </c>
      <c r="J3" s="13"/>
      <c r="K3" s="13"/>
      <c r="L3" s="13"/>
      <c r="M3" s="13"/>
      <c r="N3" s="14"/>
      <c r="O3" s="14"/>
      <c r="P3" s="8"/>
      <c r="Q3" s="1641" t="s">
        <v>52</v>
      </c>
      <c r="R3" s="1641"/>
      <c r="S3" s="1641"/>
      <c r="T3" s="1641"/>
      <c r="U3" s="1641"/>
      <c r="V3" s="1641"/>
      <c r="W3" s="386"/>
      <c r="AB3" s="106"/>
      <c r="AC3" s="107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</row>
    <row r="4" spans="2:62" ht="18.75" thickBot="1">
      <c r="B4" s="915" t="s">
        <v>388</v>
      </c>
      <c r="C4" s="571">
        <f>+WORKING!B4</f>
        <v>4</v>
      </c>
      <c r="E4" s="916">
        <f>+WORKING!B26</f>
        <v>2800</v>
      </c>
      <c r="H4" s="13" t="s">
        <v>10</v>
      </c>
      <c r="I4" s="13" t="str">
        <f>+C2</f>
        <v>JE-II</v>
      </c>
      <c r="J4" s="13"/>
      <c r="K4" s="13"/>
      <c r="L4" s="13"/>
      <c r="M4" s="13"/>
      <c r="N4" s="14"/>
      <c r="O4" s="14"/>
      <c r="P4" s="8"/>
      <c r="Q4" s="1659" t="str">
        <f>+WORKING!P4</f>
        <v>ABCDE1234Z</v>
      </c>
      <c r="R4" s="1660"/>
      <c r="S4" s="1660"/>
      <c r="T4" s="1660"/>
      <c r="U4" s="1660"/>
      <c r="V4" s="1661"/>
      <c r="W4" s="386"/>
      <c r="AB4" s="106"/>
      <c r="AC4" s="107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</row>
    <row r="5" spans="2:62" ht="16.5" thickBot="1">
      <c r="B5" s="99" t="s">
        <v>397</v>
      </c>
      <c r="C5" s="17">
        <f>+WORKING!B5</f>
        <v>25000</v>
      </c>
      <c r="E5" s="31"/>
      <c r="H5" s="13" t="s">
        <v>11</v>
      </c>
      <c r="I5" s="13" t="str">
        <f>+C3</f>
        <v>110KV NANDANAM SS</v>
      </c>
      <c r="J5" s="13"/>
      <c r="K5" s="13"/>
      <c r="L5" s="13"/>
      <c r="M5" s="13"/>
      <c r="N5" s="14"/>
      <c r="O5" s="14"/>
      <c r="P5" s="8"/>
      <c r="Q5" s="8"/>
      <c r="R5" s="8"/>
      <c r="S5" s="8"/>
      <c r="T5" s="8"/>
      <c r="U5" s="8"/>
      <c r="V5" s="8"/>
      <c r="W5" s="386"/>
      <c r="AB5" s="110"/>
      <c r="AC5" s="111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3"/>
    </row>
    <row r="6" spans="2:97" ht="19.5" customHeight="1" thickBot="1">
      <c r="B6" s="16" t="s">
        <v>381</v>
      </c>
      <c r="C6" s="926"/>
      <c r="D6" s="934">
        <v>1</v>
      </c>
      <c r="E6" s="937">
        <f>VLOOKUP(+C4,BZ7:CA23,2)</f>
        <v>21100</v>
      </c>
      <c r="F6" s="940">
        <f>IF($B$28=E6,E6,IF($B$28&lt;E6,E6,0))</f>
        <v>0</v>
      </c>
      <c r="G6" s="1672" t="s">
        <v>51</v>
      </c>
      <c r="H6" s="1639" t="s">
        <v>13</v>
      </c>
      <c r="I6" s="1745" t="s">
        <v>14</v>
      </c>
      <c r="J6" s="1747" t="s">
        <v>381</v>
      </c>
      <c r="K6" s="1710" t="s">
        <v>15</v>
      </c>
      <c r="L6" s="1710" t="s">
        <v>16</v>
      </c>
      <c r="M6" s="1710" t="s">
        <v>17</v>
      </c>
      <c r="N6" s="1706"/>
      <c r="O6" s="1708" t="s">
        <v>18</v>
      </c>
      <c r="P6" s="461" t="s">
        <v>19</v>
      </c>
      <c r="Q6" s="462" t="s">
        <v>20</v>
      </c>
      <c r="R6" s="1674" t="s">
        <v>21</v>
      </c>
      <c r="S6" s="1674" t="s">
        <v>5</v>
      </c>
      <c r="T6" s="1674" t="s">
        <v>22</v>
      </c>
      <c r="U6" s="1674" t="s">
        <v>23</v>
      </c>
      <c r="V6" s="463" t="s">
        <v>24</v>
      </c>
      <c r="W6" s="968" t="s">
        <v>53</v>
      </c>
      <c r="X6" s="402"/>
      <c r="AB6" s="81"/>
      <c r="AC6" s="82"/>
      <c r="AD6" s="82"/>
      <c r="AE6" s="82" t="s">
        <v>65</v>
      </c>
      <c r="AF6" s="82"/>
      <c r="AG6" s="83"/>
      <c r="AH6" s="107"/>
      <c r="AI6" s="107"/>
      <c r="AJ6" s="114">
        <f aca="true" t="shared" si="0" ref="AJ6:AJ11">+O13</f>
        <v>33286</v>
      </c>
      <c r="AK6" s="112"/>
      <c r="AL6" s="115" t="s">
        <v>4</v>
      </c>
      <c r="AM6" s="116">
        <f>+O8</f>
        <v>32350</v>
      </c>
      <c r="AN6" s="116">
        <f>+AM9</f>
        <v>197844</v>
      </c>
      <c r="AO6" s="113">
        <f>IF(AN6&lt;21000,0,IF(AN6&lt;30000,135,IF(AN6&lt;45000,315,IF(AN6&lt;60000,690,IF(AN6&lt;75000,1025,1250)))))</f>
        <v>1250</v>
      </c>
      <c r="AP6" s="930" t="s">
        <v>6</v>
      </c>
      <c r="AQ6" s="117" t="s">
        <v>6</v>
      </c>
      <c r="AR6" s="118">
        <v>250000</v>
      </c>
      <c r="AS6" s="112"/>
      <c r="AT6" s="119">
        <f>+AY21</f>
        <v>69250</v>
      </c>
      <c r="AU6" s="120"/>
      <c r="AV6" s="121"/>
      <c r="AW6" s="112"/>
      <c r="AX6" s="112" t="s">
        <v>42</v>
      </c>
      <c r="AY6" s="118" t="s">
        <v>238</v>
      </c>
      <c r="AZ6" s="122"/>
      <c r="BA6" s="112"/>
      <c r="BB6" s="112"/>
      <c r="BC6" s="905">
        <v>0</v>
      </c>
      <c r="BD6" s="905">
        <v>1300</v>
      </c>
      <c r="BE6" s="378"/>
      <c r="BF6" s="907">
        <v>0</v>
      </c>
      <c r="BG6" s="907">
        <v>0</v>
      </c>
      <c r="BH6" s="112"/>
      <c r="BI6" s="123">
        <f>IF(V47&gt;500001,V47-U48,IF(V47&lt;1000000,V47-U48,0))</f>
        <v>0</v>
      </c>
      <c r="BJ6" s="113"/>
      <c r="BS6" s="905">
        <v>0</v>
      </c>
      <c r="BT6" s="905">
        <v>1300</v>
      </c>
      <c r="BV6" s="907">
        <v>0</v>
      </c>
      <c r="BW6" s="907">
        <v>0</v>
      </c>
      <c r="BZ6" s="1740" t="s">
        <v>387</v>
      </c>
      <c r="CA6" s="1741"/>
      <c r="CB6" s="1741"/>
      <c r="CC6" s="1741"/>
      <c r="CD6" s="1741"/>
      <c r="CE6" s="1742"/>
      <c r="CH6" s="1743" t="s">
        <v>71</v>
      </c>
      <c r="CI6" s="1744"/>
      <c r="CQ6">
        <f>+E6</f>
        <v>21100</v>
      </c>
      <c r="CR6">
        <f>ROUND(+CQ6*3/100,0)</f>
        <v>633</v>
      </c>
      <c r="CS6" s="917">
        <f>FLOOR(+CR6+50,100)</f>
        <v>600</v>
      </c>
    </row>
    <row r="7" spans="2:97" ht="17.25" customHeight="1" thickBot="1">
      <c r="B7" s="15" t="s">
        <v>12</v>
      </c>
      <c r="C7" s="927">
        <f>+WORKING!B7</f>
        <v>800</v>
      </c>
      <c r="D7" s="935">
        <f>+D6+1</f>
        <v>2</v>
      </c>
      <c r="E7" s="938">
        <f>+CQ7</f>
        <v>21700</v>
      </c>
      <c r="F7" s="941">
        <f>IF(B$28=E7,E7,IF(AND(B$28&gt;E6,B$28&lt;E7),E7,0))</f>
        <v>0</v>
      </c>
      <c r="G7" s="1673"/>
      <c r="H7" s="1640"/>
      <c r="I7" s="1746"/>
      <c r="J7" s="1748"/>
      <c r="K7" s="1711"/>
      <c r="L7" s="1711"/>
      <c r="M7" s="1711"/>
      <c r="N7" s="1707"/>
      <c r="O7" s="1709"/>
      <c r="P7" s="464" t="s">
        <v>26</v>
      </c>
      <c r="Q7" s="465" t="s">
        <v>27</v>
      </c>
      <c r="R7" s="1675"/>
      <c r="S7" s="1675"/>
      <c r="T7" s="1675"/>
      <c r="U7" s="1675"/>
      <c r="V7" s="466" t="s">
        <v>28</v>
      </c>
      <c r="W7" s="943">
        <f>+O54</f>
        <v>-9398</v>
      </c>
      <c r="X7" s="402"/>
      <c r="AB7" s="84"/>
      <c r="AC7" s="78"/>
      <c r="AD7" s="78"/>
      <c r="AE7" s="80">
        <v>0.12</v>
      </c>
      <c r="AF7" s="80">
        <v>0.09</v>
      </c>
      <c r="AG7" s="85" t="s">
        <v>66</v>
      </c>
      <c r="AH7" s="107"/>
      <c r="AI7" s="107"/>
      <c r="AJ7" s="124">
        <f t="shared" si="0"/>
        <v>33286</v>
      </c>
      <c r="AK7" s="107"/>
      <c r="AL7" s="125"/>
      <c r="AM7" s="126">
        <f>+AM6</f>
        <v>32350</v>
      </c>
      <c r="AN7" s="125"/>
      <c r="AO7" s="127"/>
      <c r="AP7" s="107"/>
      <c r="AQ7" s="128" t="s">
        <v>8</v>
      </c>
      <c r="AR7" s="129">
        <f>+AR6</f>
        <v>250000</v>
      </c>
      <c r="AS7" s="107"/>
      <c r="AT7" s="130">
        <f>+AX22</f>
        <v>69250</v>
      </c>
      <c r="AU7" s="131">
        <f>+AT6-AT7</f>
        <v>0</v>
      </c>
      <c r="AV7" s="132"/>
      <c r="AW7" s="107"/>
      <c r="AX7" s="107" t="s">
        <v>8</v>
      </c>
      <c r="AY7" s="133" t="s">
        <v>238</v>
      </c>
      <c r="AZ7" s="134"/>
      <c r="BA7" s="107"/>
      <c r="BB7" s="107"/>
      <c r="BC7" s="905">
        <v>13601</v>
      </c>
      <c r="BD7" s="905">
        <v>1500</v>
      </c>
      <c r="BE7" s="378"/>
      <c r="BF7" s="907">
        <v>20600</v>
      </c>
      <c r="BG7" s="907">
        <v>360</v>
      </c>
      <c r="BH7" s="107"/>
      <c r="BI7" s="135">
        <f>IF(BI6&gt;500001,500000,IF(BI6&lt;500000,BI6,0))</f>
        <v>0</v>
      </c>
      <c r="BJ7" s="136"/>
      <c r="BS7" s="905">
        <v>13601</v>
      </c>
      <c r="BT7" s="905">
        <v>1500</v>
      </c>
      <c r="BV7" s="907">
        <v>20600</v>
      </c>
      <c r="BW7" s="907">
        <v>360</v>
      </c>
      <c r="BZ7" s="910">
        <v>0</v>
      </c>
      <c r="CA7" s="910">
        <v>0</v>
      </c>
      <c r="CB7" s="910"/>
      <c r="CC7" s="910"/>
      <c r="CD7" s="910">
        <f>+BZ7</f>
        <v>0</v>
      </c>
      <c r="CE7" s="910">
        <v>0</v>
      </c>
      <c r="CH7" s="911">
        <f>+CD7</f>
        <v>0</v>
      </c>
      <c r="CI7" s="912">
        <v>0</v>
      </c>
      <c r="CQ7" s="32">
        <f>+CQ6+CS6</f>
        <v>21700</v>
      </c>
      <c r="CR7">
        <f aca="true" t="shared" si="1" ref="CR7:CR45">ROUND(+CQ7*3/100,0)</f>
        <v>651</v>
      </c>
      <c r="CS7" s="917">
        <f aca="true" t="shared" si="2" ref="CS7:CS45">FLOOR(+CR7+50,100)</f>
        <v>700</v>
      </c>
    </row>
    <row r="8" spans="2:97" ht="18.75" thickBot="1">
      <c r="B8" s="16" t="s">
        <v>25</v>
      </c>
      <c r="C8" s="927">
        <f>+WORKING!B8</f>
        <v>4</v>
      </c>
      <c r="D8" s="935">
        <f aca="true" t="shared" si="3" ref="D8:D45">+D7+1</f>
        <v>3</v>
      </c>
      <c r="E8" s="938">
        <f aca="true" t="shared" si="4" ref="E8:E45">+CQ8</f>
        <v>22400</v>
      </c>
      <c r="F8" s="941">
        <f aca="true" t="shared" si="5" ref="F8:F45">IF(B$28=E8,E8,IF(AND(B$28&gt;E7,B$28&lt;E8),E8,0))</f>
        <v>0</v>
      </c>
      <c r="G8" s="931">
        <f>+WORKING!F8</f>
        <v>0.17</v>
      </c>
      <c r="H8" s="433">
        <f>+WORKING!G8</f>
        <v>44256</v>
      </c>
      <c r="I8" s="434">
        <f>+WORKING!H8</f>
        <v>25000</v>
      </c>
      <c r="J8" s="435"/>
      <c r="K8" s="436">
        <f>+WORKING!J8</f>
        <v>4250</v>
      </c>
      <c r="L8" s="436">
        <f>+WORKING!K8</f>
        <v>2600</v>
      </c>
      <c r="M8" s="436">
        <f>+WORKING!L8</f>
        <v>500</v>
      </c>
      <c r="N8" s="437"/>
      <c r="O8" s="438">
        <f aca="true" t="shared" si="6" ref="O8:O19">SUM(I8:N8)</f>
        <v>32350</v>
      </c>
      <c r="P8" s="467">
        <f>+WORKING!O8</f>
        <v>0</v>
      </c>
      <c r="Q8" s="468">
        <f>+WORKING!P8</f>
        <v>200</v>
      </c>
      <c r="R8" s="468">
        <f>+WORKING!Q8</f>
        <v>0</v>
      </c>
      <c r="S8" s="468">
        <f>+WORKING!R8</f>
        <v>0</v>
      </c>
      <c r="T8" s="468">
        <f>+WORKING!S8</f>
        <v>0</v>
      </c>
      <c r="U8" s="468"/>
      <c r="V8" s="469">
        <f>+WORKING!U8</f>
        <v>0</v>
      </c>
      <c r="W8" s="408">
        <f>+W7-V8</f>
        <v>-9398</v>
      </c>
      <c r="X8" s="403">
        <v>3</v>
      </c>
      <c r="AB8" s="86">
        <f>DATE(2021,1,1)</f>
        <v>44197</v>
      </c>
      <c r="AC8" s="78">
        <f>+I8</f>
        <v>25000</v>
      </c>
      <c r="AD8" s="78">
        <f>+J8</f>
        <v>0</v>
      </c>
      <c r="AE8" s="79">
        <f>ROUND((+AC8+AD8)*AE7,0)</f>
        <v>3000</v>
      </c>
      <c r="AF8" s="79">
        <f>ROUND((+AC8+AD8)*AF7,0)</f>
        <v>2250</v>
      </c>
      <c r="AG8" s="85">
        <f>+AE8-AF8</f>
        <v>750</v>
      </c>
      <c r="AH8" s="107"/>
      <c r="AI8" s="107"/>
      <c r="AJ8" s="124">
        <f t="shared" si="0"/>
        <v>33286</v>
      </c>
      <c r="AK8" s="107"/>
      <c r="AL8" s="107"/>
      <c r="AM8" s="170">
        <f>+O9+O10+O11+O12</f>
        <v>133144</v>
      </c>
      <c r="AN8" s="107"/>
      <c r="AO8" s="136"/>
      <c r="AP8" s="107"/>
      <c r="AQ8" s="107"/>
      <c r="AR8" s="107"/>
      <c r="AS8" s="107"/>
      <c r="AT8" s="130"/>
      <c r="AU8" s="131">
        <f>+AX23</f>
        <v>0</v>
      </c>
      <c r="AV8" s="132">
        <f>+AU7-AU8</f>
        <v>0</v>
      </c>
      <c r="AW8" s="107"/>
      <c r="AX8" s="107"/>
      <c r="AY8" s="134"/>
      <c r="AZ8" s="134"/>
      <c r="BA8" s="107"/>
      <c r="BB8" s="107"/>
      <c r="BC8" s="905">
        <v>17201</v>
      </c>
      <c r="BD8" s="905">
        <v>1800</v>
      </c>
      <c r="BE8" s="378"/>
      <c r="BF8" s="907">
        <v>20601</v>
      </c>
      <c r="BG8" s="907">
        <v>500</v>
      </c>
      <c r="BH8" s="107"/>
      <c r="BI8" s="107"/>
      <c r="BJ8" s="136"/>
      <c r="BM8">
        <f>I8</f>
        <v>25000</v>
      </c>
      <c r="BN8">
        <f>J8</f>
        <v>0</v>
      </c>
      <c r="BO8">
        <f>BM8+BN8</f>
        <v>25000</v>
      </c>
      <c r="BP8">
        <f>VLOOKUP(+BO8,BS$6:BT$23,2)</f>
        <v>2600</v>
      </c>
      <c r="BQ8">
        <f>VLOOKUP(+BO8,BV$6:BW$10,2)</f>
        <v>500</v>
      </c>
      <c r="BS8" s="905">
        <v>17201</v>
      </c>
      <c r="BT8" s="905">
        <v>1800</v>
      </c>
      <c r="BV8" s="907">
        <v>20601</v>
      </c>
      <c r="BW8" s="907">
        <v>500</v>
      </c>
      <c r="BZ8" s="910">
        <f>+BZ7+1</f>
        <v>1</v>
      </c>
      <c r="CA8" s="913">
        <v>18800</v>
      </c>
      <c r="CB8" s="913"/>
      <c r="CC8" s="913"/>
      <c r="CD8" s="913">
        <f aca="true" t="shared" si="7" ref="CD8:CD22">+BZ8</f>
        <v>1</v>
      </c>
      <c r="CE8" s="913">
        <v>59900</v>
      </c>
      <c r="CH8" s="911">
        <f aca="true" t="shared" si="8" ref="CH8:CH22">+CD8</f>
        <v>1</v>
      </c>
      <c r="CI8" s="912">
        <v>1900</v>
      </c>
      <c r="CQ8" s="32">
        <f aca="true" t="shared" si="9" ref="CQ8:CQ45">+CQ7+CS7</f>
        <v>22400</v>
      </c>
      <c r="CR8">
        <f t="shared" si="1"/>
        <v>672</v>
      </c>
      <c r="CS8" s="917">
        <f t="shared" si="2"/>
        <v>700</v>
      </c>
    </row>
    <row r="9" spans="2:97" ht="18.75" thickBot="1">
      <c r="B9" s="19" t="s">
        <v>398</v>
      </c>
      <c r="C9" s="928">
        <f>+WORKING!B9</f>
        <v>25800</v>
      </c>
      <c r="D9" s="935">
        <f t="shared" si="3"/>
        <v>4</v>
      </c>
      <c r="E9" s="938">
        <f t="shared" si="4"/>
        <v>23100</v>
      </c>
      <c r="F9" s="941">
        <f t="shared" si="5"/>
        <v>0</v>
      </c>
      <c r="G9" s="931">
        <f>+WORKING!F9</f>
        <v>0.17</v>
      </c>
      <c r="H9" s="433">
        <f>+WORKING!G9</f>
        <v>44287</v>
      </c>
      <c r="I9" s="1192">
        <f>+WORKING!H9</f>
        <v>25800</v>
      </c>
      <c r="J9" s="441"/>
      <c r="K9" s="1191">
        <f>+WORKING!J9</f>
        <v>4386</v>
      </c>
      <c r="L9" s="1191">
        <f>+WORKING!K9</f>
        <v>2600</v>
      </c>
      <c r="M9" s="1191">
        <f>+WORKING!L9</f>
        <v>500</v>
      </c>
      <c r="N9" s="442"/>
      <c r="O9" s="443">
        <f t="shared" si="6"/>
        <v>33286</v>
      </c>
      <c r="P9" s="467">
        <f>+WORKING!O9</f>
        <v>0</v>
      </c>
      <c r="Q9" s="468">
        <f>+WORKING!P9</f>
        <v>200</v>
      </c>
      <c r="R9" s="468">
        <f>+WORKING!Q9</f>
        <v>0</v>
      </c>
      <c r="S9" s="468">
        <f>+WORKING!R9</f>
        <v>0</v>
      </c>
      <c r="T9" s="468">
        <f>+WORKING!S9</f>
        <v>0</v>
      </c>
      <c r="U9" s="471"/>
      <c r="V9" s="469">
        <f>+WORKING!U9</f>
        <v>0</v>
      </c>
      <c r="W9" s="409">
        <f>+W8-V9</f>
        <v>-9398</v>
      </c>
      <c r="X9" s="404">
        <f>+X8+1</f>
        <v>4</v>
      </c>
      <c r="AB9" s="86">
        <f>DATE(2021,2,1)</f>
        <v>44228</v>
      </c>
      <c r="AC9" s="78">
        <f>+AC8</f>
        <v>25000</v>
      </c>
      <c r="AD9" s="78">
        <f>+J9</f>
        <v>0</v>
      </c>
      <c r="AE9" s="79">
        <f>ROUND((+AC9+AD9)*AE7,0)</f>
        <v>3000</v>
      </c>
      <c r="AF9" s="79">
        <f>ROUND((+AC9+AD9)*AF7,0)</f>
        <v>2250</v>
      </c>
      <c r="AG9" s="85">
        <f>+AE9-AF9</f>
        <v>750</v>
      </c>
      <c r="AH9" s="107"/>
      <c r="AI9" s="107"/>
      <c r="AJ9" s="124">
        <f t="shared" si="0"/>
        <v>33286</v>
      </c>
      <c r="AK9" s="107"/>
      <c r="AL9" s="107"/>
      <c r="AM9" s="244">
        <f>SUM(AM6:AM8)</f>
        <v>197844</v>
      </c>
      <c r="AN9" s="107"/>
      <c r="AO9" s="127">
        <f>+AO6</f>
        <v>1250</v>
      </c>
      <c r="AP9" s="107"/>
      <c r="AQ9" s="107"/>
      <c r="AR9" s="107"/>
      <c r="AS9" s="107"/>
      <c r="AT9" s="137"/>
      <c r="AU9" s="138"/>
      <c r="AV9" s="139">
        <f>+AT7+AU8+AV8</f>
        <v>69250</v>
      </c>
      <c r="AW9" s="107"/>
      <c r="AX9" s="107" t="s">
        <v>6</v>
      </c>
      <c r="AY9" s="133" t="s">
        <v>287</v>
      </c>
      <c r="AZ9" s="134"/>
      <c r="BA9" s="107"/>
      <c r="BB9" s="107"/>
      <c r="BC9" s="905">
        <v>21001</v>
      </c>
      <c r="BD9" s="905">
        <v>2100</v>
      </c>
      <c r="BE9" s="378"/>
      <c r="BF9" s="907">
        <v>30801</v>
      </c>
      <c r="BG9" s="907">
        <v>800</v>
      </c>
      <c r="BH9" s="107"/>
      <c r="BI9" s="107"/>
      <c r="BJ9" s="136"/>
      <c r="BM9">
        <f aca="true" t="shared" si="10" ref="BM9:BN19">I9</f>
        <v>25800</v>
      </c>
      <c r="BN9">
        <f t="shared" si="10"/>
        <v>0</v>
      </c>
      <c r="BO9">
        <f aca="true" t="shared" si="11" ref="BO9:BO19">BM9+BN9</f>
        <v>25800</v>
      </c>
      <c r="BP9">
        <f aca="true" t="shared" si="12" ref="BP9:BP19">VLOOKUP(+BO9,BS$6:BT$23,2)</f>
        <v>2600</v>
      </c>
      <c r="BQ9">
        <f aca="true" t="shared" si="13" ref="BQ9:BQ19">VLOOKUP(+BO9,BV$6:BW$10,2)</f>
        <v>500</v>
      </c>
      <c r="BS9" s="905">
        <v>21001</v>
      </c>
      <c r="BT9" s="905">
        <v>2100</v>
      </c>
      <c r="BV9" s="907">
        <v>30801</v>
      </c>
      <c r="BW9" s="907">
        <v>800</v>
      </c>
      <c r="BZ9" s="910">
        <f aca="true" t="shared" si="14" ref="BZ9:BZ23">+BZ8+1</f>
        <v>2</v>
      </c>
      <c r="CA9" s="913">
        <v>19500</v>
      </c>
      <c r="CB9" s="913"/>
      <c r="CC9" s="913"/>
      <c r="CD9" s="913">
        <f t="shared" si="7"/>
        <v>2</v>
      </c>
      <c r="CE9" s="913">
        <v>62000</v>
      </c>
      <c r="CH9" s="911">
        <f t="shared" si="8"/>
        <v>2</v>
      </c>
      <c r="CI9" s="912">
        <v>2200</v>
      </c>
      <c r="CQ9" s="32">
        <f t="shared" si="9"/>
        <v>23100</v>
      </c>
      <c r="CR9">
        <f t="shared" si="1"/>
        <v>693</v>
      </c>
      <c r="CS9" s="917">
        <f t="shared" si="2"/>
        <v>700</v>
      </c>
    </row>
    <row r="10" spans="2:97" ht="18.75" thickBot="1">
      <c r="B10" s="1724" t="s">
        <v>232</v>
      </c>
      <c r="C10" s="928" t="str">
        <f>+WORKING!B10</f>
        <v>YES  OR  NO</v>
      </c>
      <c r="D10" s="935">
        <f t="shared" si="3"/>
        <v>5</v>
      </c>
      <c r="E10" s="938">
        <f t="shared" si="4"/>
        <v>23800</v>
      </c>
      <c r="F10" s="941">
        <f t="shared" si="5"/>
        <v>0</v>
      </c>
      <c r="G10" s="931">
        <f>+WORKING!F10</f>
        <v>0.17</v>
      </c>
      <c r="H10" s="433">
        <f>+WORKING!G10</f>
        <v>44317</v>
      </c>
      <c r="I10" s="1192">
        <f>+WORKING!H10</f>
        <v>25800</v>
      </c>
      <c r="J10" s="441"/>
      <c r="K10" s="1191">
        <f>+WORKING!J10</f>
        <v>4386</v>
      </c>
      <c r="L10" s="1191">
        <f>+WORKING!K10</f>
        <v>2600</v>
      </c>
      <c r="M10" s="1191">
        <f>+WORKING!L10</f>
        <v>500</v>
      </c>
      <c r="N10" s="442"/>
      <c r="O10" s="443">
        <f t="shared" si="6"/>
        <v>33286</v>
      </c>
      <c r="P10" s="467">
        <f>+WORKING!O10</f>
        <v>0</v>
      </c>
      <c r="Q10" s="468">
        <f>+WORKING!P10</f>
        <v>200</v>
      </c>
      <c r="R10" s="468">
        <f>+WORKING!Q10</f>
        <v>0</v>
      </c>
      <c r="S10" s="468">
        <f>+WORKING!R10</f>
        <v>0</v>
      </c>
      <c r="T10" s="468">
        <f>+WORKING!S10</f>
        <v>0</v>
      </c>
      <c r="U10" s="471"/>
      <c r="V10" s="469">
        <f>+WORKING!U10</f>
        <v>0</v>
      </c>
      <c r="W10" s="409">
        <f aca="true" t="shared" si="15" ref="W10:W19">+W9-V10</f>
        <v>-9398</v>
      </c>
      <c r="X10" s="404">
        <f aca="true" t="shared" si="16" ref="X10:X19">+X9+1</f>
        <v>5</v>
      </c>
      <c r="AB10" s="87"/>
      <c r="AC10" s="57"/>
      <c r="AD10" s="57"/>
      <c r="AE10" s="57"/>
      <c r="AF10" s="57"/>
      <c r="AG10" s="88"/>
      <c r="AH10" s="107"/>
      <c r="AI10" s="107"/>
      <c r="AJ10" s="124">
        <f t="shared" si="0"/>
        <v>33286</v>
      </c>
      <c r="AK10" s="107"/>
      <c r="AL10" s="107"/>
      <c r="AM10" s="107"/>
      <c r="AN10" s="107"/>
      <c r="AO10" s="140">
        <f>+AO8+AO9</f>
        <v>1250</v>
      </c>
      <c r="AP10" s="107"/>
      <c r="AQ10" s="107"/>
      <c r="AR10" s="107"/>
      <c r="AS10" s="107"/>
      <c r="AT10" s="107"/>
      <c r="AU10" s="107"/>
      <c r="AV10" s="107"/>
      <c r="AW10" s="107"/>
      <c r="AX10" s="107" t="s">
        <v>8</v>
      </c>
      <c r="AY10" s="133" t="s">
        <v>287</v>
      </c>
      <c r="AZ10" s="134"/>
      <c r="BA10" s="107"/>
      <c r="BB10" s="107"/>
      <c r="BC10" s="905">
        <v>23901</v>
      </c>
      <c r="BD10" s="905">
        <v>2600</v>
      </c>
      <c r="BE10" s="378"/>
      <c r="BF10" s="908">
        <v>41101</v>
      </c>
      <c r="BG10" s="908">
        <v>1200</v>
      </c>
      <c r="BH10" s="107"/>
      <c r="BI10" s="107"/>
      <c r="BJ10" s="136"/>
      <c r="BM10">
        <f t="shared" si="10"/>
        <v>25800</v>
      </c>
      <c r="BN10">
        <f t="shared" si="10"/>
        <v>0</v>
      </c>
      <c r="BO10">
        <f t="shared" si="11"/>
        <v>25800</v>
      </c>
      <c r="BP10">
        <f t="shared" si="12"/>
        <v>2600</v>
      </c>
      <c r="BQ10">
        <f t="shared" si="13"/>
        <v>500</v>
      </c>
      <c r="BS10" s="905">
        <v>23901</v>
      </c>
      <c r="BT10" s="905">
        <v>2600</v>
      </c>
      <c r="BV10" s="908">
        <v>41101</v>
      </c>
      <c r="BW10" s="908">
        <v>1200</v>
      </c>
      <c r="BZ10" s="910">
        <f t="shared" si="14"/>
        <v>3</v>
      </c>
      <c r="CA10" s="913">
        <v>20300</v>
      </c>
      <c r="CB10" s="913"/>
      <c r="CC10" s="913"/>
      <c r="CD10" s="913">
        <f t="shared" si="7"/>
        <v>3</v>
      </c>
      <c r="CE10" s="913">
        <v>64100</v>
      </c>
      <c r="CH10" s="911">
        <f t="shared" si="8"/>
        <v>3</v>
      </c>
      <c r="CI10" s="912">
        <v>2500</v>
      </c>
      <c r="CQ10" s="32">
        <f t="shared" si="9"/>
        <v>23800</v>
      </c>
      <c r="CR10">
        <f t="shared" si="1"/>
        <v>714</v>
      </c>
      <c r="CS10" s="917">
        <f t="shared" si="2"/>
        <v>700</v>
      </c>
    </row>
    <row r="11" spans="2:97" ht="22.5" customHeight="1" thickBot="1">
      <c r="B11" s="1725"/>
      <c r="C11" s="928" t="str">
        <f>+WORKING!B11</f>
        <v>Y</v>
      </c>
      <c r="D11" s="935">
        <f t="shared" si="3"/>
        <v>6</v>
      </c>
      <c r="E11" s="938">
        <f t="shared" si="4"/>
        <v>24500</v>
      </c>
      <c r="F11" s="941">
        <f t="shared" si="5"/>
        <v>0</v>
      </c>
      <c r="G11" s="931">
        <f>+WORKING!F11</f>
        <v>0.17</v>
      </c>
      <c r="H11" s="433">
        <f>+WORKING!G11</f>
        <v>44348</v>
      </c>
      <c r="I11" s="1192">
        <f>+WORKING!H11</f>
        <v>25800</v>
      </c>
      <c r="J11" s="441"/>
      <c r="K11" s="1191">
        <f>+WORKING!J11</f>
        <v>4386</v>
      </c>
      <c r="L11" s="1191">
        <f>+WORKING!K11</f>
        <v>2600</v>
      </c>
      <c r="M11" s="1191">
        <f>+WORKING!L11</f>
        <v>500</v>
      </c>
      <c r="N11" s="442"/>
      <c r="O11" s="443">
        <f t="shared" si="6"/>
        <v>33286</v>
      </c>
      <c r="P11" s="467">
        <f>+WORKING!O11</f>
        <v>0</v>
      </c>
      <c r="Q11" s="468">
        <f>+WORKING!P11</f>
        <v>200</v>
      </c>
      <c r="R11" s="468">
        <f>+WORKING!Q11</f>
        <v>0</v>
      </c>
      <c r="S11" s="468">
        <f>+WORKING!R11</f>
        <v>0</v>
      </c>
      <c r="T11" s="468">
        <f>+WORKING!S11</f>
        <v>0</v>
      </c>
      <c r="U11" s="471"/>
      <c r="V11" s="469">
        <f>+WORKING!U11</f>
        <v>0</v>
      </c>
      <c r="W11" s="409">
        <f t="shared" si="15"/>
        <v>-9398</v>
      </c>
      <c r="X11" s="404">
        <f t="shared" si="16"/>
        <v>6</v>
      </c>
      <c r="AB11" s="87" t="s">
        <v>29</v>
      </c>
      <c r="AC11" s="141" t="str">
        <f>+H22</f>
        <v> </v>
      </c>
      <c r="AD11" s="57"/>
      <c r="AE11" s="57"/>
      <c r="AF11" s="57"/>
      <c r="AG11" s="85">
        <f>+AF16</f>
        <v>0</v>
      </c>
      <c r="AH11" s="107"/>
      <c r="AI11" s="107"/>
      <c r="AJ11" s="124">
        <f t="shared" si="0"/>
        <v>36898</v>
      </c>
      <c r="AK11" s="107"/>
      <c r="AL11" s="107"/>
      <c r="AM11" s="107"/>
      <c r="AN11" s="107"/>
      <c r="AO11" s="136"/>
      <c r="AP11" s="107"/>
      <c r="AQ11" s="107"/>
      <c r="AR11" s="107"/>
      <c r="AS11" s="107"/>
      <c r="AT11" s="107"/>
      <c r="AU11" s="107"/>
      <c r="AV11" s="142">
        <f>+AT7+AU8</f>
        <v>69250</v>
      </c>
      <c r="AW11" s="107"/>
      <c r="AX11" s="107"/>
      <c r="AY11" s="134"/>
      <c r="AZ11" s="134"/>
      <c r="BA11" s="107"/>
      <c r="BB11" s="107"/>
      <c r="BC11" s="905">
        <v>27201</v>
      </c>
      <c r="BD11" s="905">
        <v>3100</v>
      </c>
      <c r="BE11" s="378"/>
      <c r="BF11" s="378"/>
      <c r="BG11" s="378"/>
      <c r="BH11" s="107"/>
      <c r="BI11" s="107"/>
      <c r="BJ11" s="136"/>
      <c r="BM11">
        <f t="shared" si="10"/>
        <v>25800</v>
      </c>
      <c r="BN11">
        <f t="shared" si="10"/>
        <v>0</v>
      </c>
      <c r="BO11">
        <f t="shared" si="11"/>
        <v>25800</v>
      </c>
      <c r="BP11">
        <f t="shared" si="12"/>
        <v>2600</v>
      </c>
      <c r="BQ11">
        <f t="shared" si="13"/>
        <v>500</v>
      </c>
      <c r="BS11" s="905">
        <v>27201</v>
      </c>
      <c r="BT11" s="905">
        <v>3100</v>
      </c>
      <c r="BZ11" s="910">
        <f t="shared" si="14"/>
        <v>4</v>
      </c>
      <c r="CA11" s="913">
        <v>21100</v>
      </c>
      <c r="CB11" s="913"/>
      <c r="CC11" s="913"/>
      <c r="CD11" s="913">
        <f t="shared" si="7"/>
        <v>4</v>
      </c>
      <c r="CE11" s="913">
        <v>67100</v>
      </c>
      <c r="CH11" s="911">
        <f t="shared" si="8"/>
        <v>4</v>
      </c>
      <c r="CI11" s="912">
        <v>2800</v>
      </c>
      <c r="CQ11" s="32">
        <f t="shared" si="9"/>
        <v>24500</v>
      </c>
      <c r="CR11">
        <f t="shared" si="1"/>
        <v>735</v>
      </c>
      <c r="CS11" s="917">
        <f t="shared" si="2"/>
        <v>700</v>
      </c>
    </row>
    <row r="12" spans="2:97" ht="18.75" thickBot="1">
      <c r="B12" s="102" t="s">
        <v>237</v>
      </c>
      <c r="C12" s="928" t="str">
        <f>+WORKING!B12</f>
        <v>Y</v>
      </c>
      <c r="D12" s="935">
        <f t="shared" si="3"/>
        <v>7</v>
      </c>
      <c r="E12" s="938">
        <f t="shared" si="4"/>
        <v>25200</v>
      </c>
      <c r="F12" s="941">
        <f t="shared" si="5"/>
        <v>0</v>
      </c>
      <c r="G12" s="931">
        <f>+WORKING!F12</f>
        <v>0.17</v>
      </c>
      <c r="H12" s="433">
        <f>+WORKING!G12</f>
        <v>44378</v>
      </c>
      <c r="I12" s="1192">
        <f>+WORKING!H12</f>
        <v>25800</v>
      </c>
      <c r="J12" s="441"/>
      <c r="K12" s="1191">
        <f>+WORKING!J12</f>
        <v>4386</v>
      </c>
      <c r="L12" s="1191">
        <f>+WORKING!K12</f>
        <v>2600</v>
      </c>
      <c r="M12" s="1191">
        <f>+WORKING!L12</f>
        <v>500</v>
      </c>
      <c r="N12" s="442"/>
      <c r="O12" s="443">
        <f t="shared" si="6"/>
        <v>33286</v>
      </c>
      <c r="P12" s="467">
        <f>+WORKING!O12</f>
        <v>0</v>
      </c>
      <c r="Q12" s="468">
        <f>+WORKING!P12</f>
        <v>200</v>
      </c>
      <c r="R12" s="468">
        <f>+WORKING!Q12</f>
        <v>0</v>
      </c>
      <c r="S12" s="468">
        <f>+WORKING!R12</f>
        <v>0</v>
      </c>
      <c r="T12" s="468">
        <f>+WORKING!S12</f>
        <v>0</v>
      </c>
      <c r="U12" s="471"/>
      <c r="V12" s="469">
        <f>+WORKING!U12</f>
        <v>0</v>
      </c>
      <c r="W12" s="409">
        <f t="shared" si="15"/>
        <v>-9398</v>
      </c>
      <c r="X12" s="404">
        <f t="shared" si="16"/>
        <v>7</v>
      </c>
      <c r="AB12" s="1720" t="s">
        <v>67</v>
      </c>
      <c r="AC12" s="1721"/>
      <c r="AD12" s="89"/>
      <c r="AE12" s="89"/>
      <c r="AF12" s="89"/>
      <c r="AG12" s="93">
        <f>+AG8+AG9+AG11</f>
        <v>1500</v>
      </c>
      <c r="AH12" s="107"/>
      <c r="AI12" s="107"/>
      <c r="AJ12" s="244">
        <f>SUM(AJ6:AJ11)</f>
        <v>203328</v>
      </c>
      <c r="AK12" s="138"/>
      <c r="AL12" s="143" t="s">
        <v>4</v>
      </c>
      <c r="AM12" s="144">
        <f>+O14</f>
        <v>33286</v>
      </c>
      <c r="AN12" s="144">
        <f>+AJ12</f>
        <v>203328</v>
      </c>
      <c r="AO12" s="127">
        <f>IF(AN12&lt;21000,0,IF(AN12&lt;30000,135,IF(AN12&lt;45000,315,IF(AN12&lt;60000,690,IF(AN12&lt;75000,1025,1250)))))</f>
        <v>1250</v>
      </c>
      <c r="AP12" s="107"/>
      <c r="AQ12" s="107"/>
      <c r="AR12" s="107"/>
      <c r="AS12" s="107"/>
      <c r="AT12" s="107"/>
      <c r="AU12" s="107"/>
      <c r="AV12" s="107"/>
      <c r="AW12" s="107"/>
      <c r="AX12" s="107" t="s">
        <v>6</v>
      </c>
      <c r="AY12" s="145">
        <f>IF(AY21&gt;250000,250000,IF(AND(AY21&lt;250001),AY21,0))</f>
        <v>69250</v>
      </c>
      <c r="AZ12" s="134"/>
      <c r="BA12" s="107">
        <v>500000</v>
      </c>
      <c r="BB12" s="107"/>
      <c r="BC12" s="905">
        <v>30601</v>
      </c>
      <c r="BD12" s="905">
        <v>3600</v>
      </c>
      <c r="BE12" s="378"/>
      <c r="BF12" s="378"/>
      <c r="BG12" s="378"/>
      <c r="BH12" s="107"/>
      <c r="BI12" s="107"/>
      <c r="BJ12" s="136"/>
      <c r="BM12">
        <f t="shared" si="10"/>
        <v>25800</v>
      </c>
      <c r="BN12">
        <f t="shared" si="10"/>
        <v>0</v>
      </c>
      <c r="BO12">
        <f t="shared" si="11"/>
        <v>25800</v>
      </c>
      <c r="BP12">
        <f t="shared" si="12"/>
        <v>2600</v>
      </c>
      <c r="BQ12">
        <f t="shared" si="13"/>
        <v>500</v>
      </c>
      <c r="BS12" s="905">
        <v>30601</v>
      </c>
      <c r="BT12" s="905">
        <v>3600</v>
      </c>
      <c r="BZ12" s="910">
        <f t="shared" si="14"/>
        <v>5</v>
      </c>
      <c r="CA12" s="913">
        <v>36400</v>
      </c>
      <c r="CB12" s="913"/>
      <c r="CC12" s="913"/>
      <c r="CD12" s="913">
        <f t="shared" si="7"/>
        <v>5</v>
      </c>
      <c r="CE12" s="913">
        <v>115700</v>
      </c>
      <c r="CH12" s="911">
        <f t="shared" si="8"/>
        <v>5</v>
      </c>
      <c r="CI12" s="912">
        <v>4300</v>
      </c>
      <c r="CQ12" s="32">
        <f t="shared" si="9"/>
        <v>25200</v>
      </c>
      <c r="CR12">
        <f t="shared" si="1"/>
        <v>756</v>
      </c>
      <c r="CS12" s="917">
        <f t="shared" si="2"/>
        <v>800</v>
      </c>
    </row>
    <row r="13" spans="2:97" ht="18.75" thickBot="1">
      <c r="B13" s="592" t="s">
        <v>303</v>
      </c>
      <c r="C13" s="973">
        <f>+WORKING!B13</f>
        <v>8300</v>
      </c>
      <c r="D13" s="935">
        <f t="shared" si="3"/>
        <v>8</v>
      </c>
      <c r="E13" s="938">
        <f t="shared" si="4"/>
        <v>26000</v>
      </c>
      <c r="F13" s="941">
        <f t="shared" si="5"/>
        <v>26000</v>
      </c>
      <c r="G13" s="931">
        <f>+WORKING!F13</f>
        <v>0.17</v>
      </c>
      <c r="H13" s="433">
        <f>+WORKING!G13</f>
        <v>44409</v>
      </c>
      <c r="I13" s="1192">
        <f>+WORKING!H13</f>
        <v>25800</v>
      </c>
      <c r="J13" s="441"/>
      <c r="K13" s="1191">
        <f>+WORKING!J13</f>
        <v>4386</v>
      </c>
      <c r="L13" s="1191">
        <f>+WORKING!K13</f>
        <v>2600</v>
      </c>
      <c r="M13" s="1191">
        <f>+WORKING!L13</f>
        <v>500</v>
      </c>
      <c r="N13" s="442"/>
      <c r="O13" s="443">
        <f t="shared" si="6"/>
        <v>33286</v>
      </c>
      <c r="P13" s="467">
        <f>+WORKING!O13</f>
        <v>0</v>
      </c>
      <c r="Q13" s="468">
        <f>+WORKING!P13</f>
        <v>200</v>
      </c>
      <c r="R13" s="468">
        <f>+WORKING!Q13</f>
        <v>0</v>
      </c>
      <c r="S13" s="468">
        <f>+WORKING!R13</f>
        <v>0</v>
      </c>
      <c r="T13" s="468">
        <f>+WORKING!S13</f>
        <v>0</v>
      </c>
      <c r="U13" s="471">
        <f>+WORKING!T13</f>
        <v>1250</v>
      </c>
      <c r="V13" s="469">
        <f>+WORKING!U13</f>
        <v>0</v>
      </c>
      <c r="W13" s="409">
        <f t="shared" si="15"/>
        <v>-9398</v>
      </c>
      <c r="X13" s="404">
        <f t="shared" si="16"/>
        <v>8</v>
      </c>
      <c r="AB13" s="54"/>
      <c r="AC13" s="1"/>
      <c r="AD13" s="1"/>
      <c r="AE13" s="1"/>
      <c r="AF13" s="1"/>
      <c r="AG13" s="33"/>
      <c r="AH13" s="107"/>
      <c r="AI13" s="107"/>
      <c r="AJ13" s="146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 t="s">
        <v>8</v>
      </c>
      <c r="AY13" s="145">
        <f>IF(AY21&gt;250000,250000,IF(AND(AY21&lt;250001),AY21,0))</f>
        <v>69250</v>
      </c>
      <c r="AZ13" s="134"/>
      <c r="BA13" s="107">
        <v>250000</v>
      </c>
      <c r="BB13" s="107"/>
      <c r="BC13" s="905">
        <v>35401</v>
      </c>
      <c r="BD13" s="905">
        <v>4200</v>
      </c>
      <c r="BE13" s="378"/>
      <c r="BF13" s="378"/>
      <c r="BG13" s="378"/>
      <c r="BH13" s="107"/>
      <c r="BI13" s="107"/>
      <c r="BJ13" s="136"/>
      <c r="BM13">
        <f t="shared" si="10"/>
        <v>25800</v>
      </c>
      <c r="BN13">
        <f t="shared" si="10"/>
        <v>0</v>
      </c>
      <c r="BO13">
        <f t="shared" si="11"/>
        <v>25800</v>
      </c>
      <c r="BP13">
        <f t="shared" si="12"/>
        <v>2600</v>
      </c>
      <c r="BQ13">
        <f t="shared" si="13"/>
        <v>500</v>
      </c>
      <c r="BS13" s="905">
        <v>35401</v>
      </c>
      <c r="BT13" s="905">
        <v>4200</v>
      </c>
      <c r="BZ13" s="910">
        <f t="shared" si="14"/>
        <v>6</v>
      </c>
      <c r="CA13" s="913">
        <v>39800</v>
      </c>
      <c r="CB13" s="913"/>
      <c r="CC13" s="913"/>
      <c r="CD13" s="913">
        <f t="shared" si="7"/>
        <v>6</v>
      </c>
      <c r="CE13" s="914">
        <v>126500</v>
      </c>
      <c r="CH13" s="911">
        <f t="shared" si="8"/>
        <v>6</v>
      </c>
      <c r="CI13" s="912">
        <v>5100</v>
      </c>
      <c r="CQ13" s="32">
        <f t="shared" si="9"/>
        <v>26000</v>
      </c>
      <c r="CR13">
        <f t="shared" si="1"/>
        <v>780</v>
      </c>
      <c r="CS13" s="917">
        <f t="shared" si="2"/>
        <v>800</v>
      </c>
    </row>
    <row r="14" spans="2:97" ht="18.75" thickBot="1">
      <c r="B14" s="593" t="s">
        <v>304</v>
      </c>
      <c r="C14" s="973">
        <f>+WORKING!B14</f>
        <v>31200</v>
      </c>
      <c r="D14" s="935">
        <f t="shared" si="3"/>
        <v>9</v>
      </c>
      <c r="E14" s="938">
        <f t="shared" si="4"/>
        <v>26800</v>
      </c>
      <c r="F14" s="941">
        <f t="shared" si="5"/>
        <v>0</v>
      </c>
      <c r="G14" s="931">
        <f>+WORKING!F14</f>
        <v>0.17</v>
      </c>
      <c r="H14" s="433">
        <f>+WORKING!G14</f>
        <v>44440</v>
      </c>
      <c r="I14" s="1192">
        <f>+WORKING!H14</f>
        <v>25800</v>
      </c>
      <c r="J14" s="441"/>
      <c r="K14" s="1191">
        <f>+WORKING!J14</f>
        <v>4386</v>
      </c>
      <c r="L14" s="1191">
        <f>+WORKING!K14</f>
        <v>2600</v>
      </c>
      <c r="M14" s="1191">
        <f>+WORKING!L14</f>
        <v>500</v>
      </c>
      <c r="N14" s="442"/>
      <c r="O14" s="443">
        <f t="shared" si="6"/>
        <v>33286</v>
      </c>
      <c r="P14" s="467">
        <f>+WORKING!O14</f>
        <v>0</v>
      </c>
      <c r="Q14" s="468">
        <f>+WORKING!P14</f>
        <v>200</v>
      </c>
      <c r="R14" s="468">
        <f>+WORKING!Q14</f>
        <v>0</v>
      </c>
      <c r="S14" s="468">
        <f>+WORKING!R14</f>
        <v>0</v>
      </c>
      <c r="T14" s="468">
        <f>+WORKING!S14</f>
        <v>0</v>
      </c>
      <c r="U14" s="471"/>
      <c r="V14" s="469">
        <f>+WORKING!U14</f>
        <v>0</v>
      </c>
      <c r="W14" s="409">
        <f t="shared" si="15"/>
        <v>-9398</v>
      </c>
      <c r="X14" s="404">
        <f t="shared" si="16"/>
        <v>9</v>
      </c>
      <c r="Y14" s="10"/>
      <c r="Z14" s="10"/>
      <c r="AA14" s="10"/>
      <c r="AB14" s="90"/>
      <c r="AC14" s="91"/>
      <c r="AD14" s="237"/>
      <c r="AE14" s="237"/>
      <c r="AF14" s="237"/>
      <c r="AG14" s="92"/>
      <c r="AH14" s="107"/>
      <c r="AI14" s="107"/>
      <c r="AJ14" s="146"/>
      <c r="AK14" s="25">
        <f>IF($C$16=0,0,VLOOKUP($H$21,$H$8:$M$17,2)/$C$16)</f>
        <v>0</v>
      </c>
      <c r="AL14" s="107"/>
      <c r="AM14" s="243">
        <f>IF($C$19=0,0,VLOOKUP($H$22,$H$18:$M$19,2)/$C$19)</f>
        <v>0</v>
      </c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>
        <f>+BA12-BA13</f>
        <v>250000</v>
      </c>
      <c r="BB14" s="107"/>
      <c r="BC14" s="905">
        <v>37301</v>
      </c>
      <c r="BD14" s="905">
        <v>4700</v>
      </c>
      <c r="BE14" s="378"/>
      <c r="BF14" s="378"/>
      <c r="BG14" s="378"/>
      <c r="BH14" s="107"/>
      <c r="BI14" s="107"/>
      <c r="BJ14" s="136"/>
      <c r="BM14">
        <f t="shared" si="10"/>
        <v>25800</v>
      </c>
      <c r="BN14">
        <f t="shared" si="10"/>
        <v>0</v>
      </c>
      <c r="BO14">
        <f t="shared" si="11"/>
        <v>25800</v>
      </c>
      <c r="BP14">
        <f t="shared" si="12"/>
        <v>2600</v>
      </c>
      <c r="BQ14">
        <f t="shared" si="13"/>
        <v>500</v>
      </c>
      <c r="BS14" s="905">
        <v>37301</v>
      </c>
      <c r="BT14" s="905">
        <v>4700</v>
      </c>
      <c r="BZ14" s="910">
        <f t="shared" si="14"/>
        <v>7</v>
      </c>
      <c r="CA14" s="913">
        <v>56300</v>
      </c>
      <c r="CB14" s="913"/>
      <c r="CC14" s="913"/>
      <c r="CD14" s="913">
        <f t="shared" si="7"/>
        <v>7</v>
      </c>
      <c r="CE14" s="914">
        <v>178000</v>
      </c>
      <c r="CH14" s="911">
        <f t="shared" si="8"/>
        <v>7</v>
      </c>
      <c r="CI14" s="912">
        <v>5400</v>
      </c>
      <c r="CQ14" s="32">
        <f t="shared" si="9"/>
        <v>26800</v>
      </c>
      <c r="CR14">
        <f t="shared" si="1"/>
        <v>804</v>
      </c>
      <c r="CS14" s="917">
        <f t="shared" si="2"/>
        <v>800</v>
      </c>
    </row>
    <row r="15" spans="2:97" ht="18.75" thickBot="1">
      <c r="B15" s="103" t="s">
        <v>393</v>
      </c>
      <c r="C15" s="973">
        <f>+WORKING!B15</f>
        <v>0</v>
      </c>
      <c r="D15" s="935">
        <f t="shared" si="3"/>
        <v>10</v>
      </c>
      <c r="E15" s="938">
        <f t="shared" si="4"/>
        <v>27600</v>
      </c>
      <c r="F15" s="941">
        <f t="shared" si="5"/>
        <v>0</v>
      </c>
      <c r="G15" s="931">
        <f>+WORKING!F15</f>
        <v>0.17</v>
      </c>
      <c r="H15" s="433">
        <f>+WORKING!G15</f>
        <v>44470</v>
      </c>
      <c r="I15" s="1192">
        <f>+WORKING!H15</f>
        <v>25800</v>
      </c>
      <c r="J15" s="441"/>
      <c r="K15" s="1191">
        <f>+WORKING!J15</f>
        <v>4386</v>
      </c>
      <c r="L15" s="1191">
        <f>+WORKING!K15</f>
        <v>2600</v>
      </c>
      <c r="M15" s="1191">
        <f>+WORKING!L15</f>
        <v>500</v>
      </c>
      <c r="N15" s="442"/>
      <c r="O15" s="443">
        <f t="shared" si="6"/>
        <v>33286</v>
      </c>
      <c r="P15" s="467">
        <f>+WORKING!O15</f>
        <v>0</v>
      </c>
      <c r="Q15" s="468">
        <f>+WORKING!P15</f>
        <v>200</v>
      </c>
      <c r="R15" s="468">
        <f>+WORKING!Q15</f>
        <v>0</v>
      </c>
      <c r="S15" s="468">
        <f>+WORKING!R15</f>
        <v>0</v>
      </c>
      <c r="T15" s="468">
        <f>+WORKING!S15</f>
        <v>0</v>
      </c>
      <c r="U15" s="471"/>
      <c r="V15" s="469">
        <f>+WORKING!U15</f>
        <v>0</v>
      </c>
      <c r="W15" s="409">
        <f t="shared" si="15"/>
        <v>-9398</v>
      </c>
      <c r="X15" s="404">
        <f t="shared" si="16"/>
        <v>10</v>
      </c>
      <c r="AB15" s="234"/>
      <c r="AC15" s="236"/>
      <c r="AD15" s="238"/>
      <c r="AE15" s="238"/>
      <c r="AF15" s="239"/>
      <c r="AG15" s="147"/>
      <c r="AH15" s="107"/>
      <c r="AI15" s="107"/>
      <c r="AJ15" s="146"/>
      <c r="AK15" s="25">
        <f>IF($C$16=0,0,VLOOKUP($H$21,$H$8:$M$17,3)/$C$16)</f>
        <v>0</v>
      </c>
      <c r="AL15" s="107"/>
      <c r="AM15" s="25">
        <f>IF($C$19=0,0,VLOOKUP($H$22,$H$18:$M$19,3)/$C$19)</f>
        <v>0</v>
      </c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905">
        <v>41101</v>
      </c>
      <c r="BD15" s="905">
        <v>5200</v>
      </c>
      <c r="BE15" s="378"/>
      <c r="BF15" s="378"/>
      <c r="BG15" s="378"/>
      <c r="BH15" s="107"/>
      <c r="BI15" s="107"/>
      <c r="BJ15" s="136"/>
      <c r="BM15">
        <f t="shared" si="10"/>
        <v>25800</v>
      </c>
      <c r="BN15">
        <f t="shared" si="10"/>
        <v>0</v>
      </c>
      <c r="BO15">
        <f t="shared" si="11"/>
        <v>25800</v>
      </c>
      <c r="BP15">
        <f t="shared" si="12"/>
        <v>2600</v>
      </c>
      <c r="BQ15">
        <f t="shared" si="13"/>
        <v>500</v>
      </c>
      <c r="BS15" s="905">
        <v>41101</v>
      </c>
      <c r="BT15" s="905">
        <v>5200</v>
      </c>
      <c r="BZ15" s="910">
        <f t="shared" si="14"/>
        <v>8</v>
      </c>
      <c r="CA15" s="913">
        <v>58200</v>
      </c>
      <c r="CB15" s="913"/>
      <c r="CC15" s="913"/>
      <c r="CD15" s="913">
        <f t="shared" si="7"/>
        <v>8</v>
      </c>
      <c r="CE15" s="914">
        <v>184300</v>
      </c>
      <c r="CH15" s="911">
        <f t="shared" si="8"/>
        <v>8</v>
      </c>
      <c r="CI15" s="912">
        <v>6100</v>
      </c>
      <c r="CQ15" s="32">
        <f t="shared" si="9"/>
        <v>27600</v>
      </c>
      <c r="CR15">
        <f t="shared" si="1"/>
        <v>828</v>
      </c>
      <c r="CS15" s="917">
        <f t="shared" si="2"/>
        <v>800</v>
      </c>
    </row>
    <row r="16" spans="2:97" ht="18.75" thickBot="1">
      <c r="B16" s="15"/>
      <c r="C16" s="973">
        <f>+WORKING!B16</f>
        <v>0</v>
      </c>
      <c r="D16" s="935">
        <f t="shared" si="3"/>
        <v>11</v>
      </c>
      <c r="E16" s="938">
        <f t="shared" si="4"/>
        <v>28400</v>
      </c>
      <c r="F16" s="941">
        <f t="shared" si="5"/>
        <v>0</v>
      </c>
      <c r="G16" s="931">
        <f>+WORKING!F16</f>
        <v>0.17</v>
      </c>
      <c r="H16" s="433">
        <f>+WORKING!G16</f>
        <v>44501</v>
      </c>
      <c r="I16" s="1192">
        <f>+WORKING!H16</f>
        <v>25800</v>
      </c>
      <c r="J16" s="441"/>
      <c r="K16" s="1191">
        <f>+WORKING!J16</f>
        <v>4386</v>
      </c>
      <c r="L16" s="1191">
        <f>+WORKING!K16</f>
        <v>2600</v>
      </c>
      <c r="M16" s="1191">
        <f>+WORKING!L16</f>
        <v>500</v>
      </c>
      <c r="N16" s="442"/>
      <c r="O16" s="443">
        <f t="shared" si="6"/>
        <v>33286</v>
      </c>
      <c r="P16" s="467">
        <f>+WORKING!O16</f>
        <v>0</v>
      </c>
      <c r="Q16" s="468">
        <f>+WORKING!P16</f>
        <v>200</v>
      </c>
      <c r="R16" s="468">
        <f>+WORKING!Q16</f>
        <v>0</v>
      </c>
      <c r="S16" s="468">
        <f>+WORKING!R16</f>
        <v>0</v>
      </c>
      <c r="T16" s="468">
        <f>+WORKING!S16</f>
        <v>0</v>
      </c>
      <c r="U16" s="471"/>
      <c r="V16" s="469">
        <f>+WORKING!U16</f>
        <v>0</v>
      </c>
      <c r="W16" s="409">
        <f t="shared" si="15"/>
        <v>-9398</v>
      </c>
      <c r="X16" s="414">
        <f t="shared" si="16"/>
        <v>11</v>
      </c>
      <c r="AB16" s="24" t="str">
        <f>IF($C$18=0," ",DATE(2018,$C$18,1))</f>
        <v> </v>
      </c>
      <c r="AC16" s="25"/>
      <c r="AD16" s="235"/>
      <c r="AE16" s="235"/>
      <c r="AF16" s="25">
        <f>IF($C19=0,0,VLOOKUP($AB16,$AB8:$AG8,6)/$C$19)</f>
        <v>0</v>
      </c>
      <c r="AG16" s="148">
        <v>0</v>
      </c>
      <c r="AH16" s="107"/>
      <c r="AI16" s="107"/>
      <c r="AJ16" s="146"/>
      <c r="AK16" s="25">
        <f>IF($C$16=0,0,VLOOKUP($H$21,$H$8:$M$17,4)/$C$16)</f>
        <v>0</v>
      </c>
      <c r="AL16" s="107"/>
      <c r="AM16" s="25">
        <f>IF($C$19=0,0,VLOOKUP($H$22,$H$18:$M$19,4)/$C$19)</f>
        <v>0</v>
      </c>
      <c r="AN16" s="107"/>
      <c r="AO16" s="386">
        <f>ROUND(W15/4,0)</f>
        <v>-2350</v>
      </c>
      <c r="AP16" s="387" t="e">
        <f>CEILING(AO16,100)</f>
        <v>#NUM!</v>
      </c>
      <c r="AQ16" s="76">
        <f>ROUNDDOWN(AO16,0.1)</f>
        <v>-2350</v>
      </c>
      <c r="AR16" s="107"/>
      <c r="AS16" s="107"/>
      <c r="AT16" s="125">
        <v>9</v>
      </c>
      <c r="AU16" s="149" t="s">
        <v>40</v>
      </c>
      <c r="AV16" s="107"/>
      <c r="AW16" s="107"/>
      <c r="AX16" s="107"/>
      <c r="AY16" s="150">
        <f>IF(V40&gt;100001,100000,IF(AND(V40&lt;100001),V40))</f>
        <v>12400</v>
      </c>
      <c r="AZ16" s="107"/>
      <c r="BA16" s="107"/>
      <c r="BB16" s="107"/>
      <c r="BC16" s="905">
        <v>44501</v>
      </c>
      <c r="BD16" s="905">
        <v>5700</v>
      </c>
      <c r="BE16" s="378"/>
      <c r="BF16" s="378"/>
      <c r="BG16" s="378"/>
      <c r="BH16" s="107"/>
      <c r="BI16" s="107"/>
      <c r="BJ16" s="136"/>
      <c r="BM16">
        <f t="shared" si="10"/>
        <v>25800</v>
      </c>
      <c r="BN16">
        <f t="shared" si="10"/>
        <v>0</v>
      </c>
      <c r="BO16">
        <f t="shared" si="11"/>
        <v>25800</v>
      </c>
      <c r="BP16">
        <f t="shared" si="12"/>
        <v>2600</v>
      </c>
      <c r="BQ16">
        <f t="shared" si="13"/>
        <v>500</v>
      </c>
      <c r="BS16" s="905">
        <v>44501</v>
      </c>
      <c r="BT16" s="905">
        <v>5700</v>
      </c>
      <c r="BZ16" s="910">
        <f t="shared" si="14"/>
        <v>9</v>
      </c>
      <c r="CA16" s="913">
        <v>58500</v>
      </c>
      <c r="CB16" s="913"/>
      <c r="CC16" s="913"/>
      <c r="CD16" s="913">
        <f t="shared" si="7"/>
        <v>9</v>
      </c>
      <c r="CE16" s="914">
        <v>185800</v>
      </c>
      <c r="CH16" s="911">
        <f t="shared" si="8"/>
        <v>9</v>
      </c>
      <c r="CI16" s="912">
        <v>6200</v>
      </c>
      <c r="CQ16" s="32">
        <f t="shared" si="9"/>
        <v>28400</v>
      </c>
      <c r="CR16">
        <f t="shared" si="1"/>
        <v>852</v>
      </c>
      <c r="CS16" s="917">
        <f t="shared" si="2"/>
        <v>900</v>
      </c>
    </row>
    <row r="17" spans="2:97" ht="18.75" thickBot="1">
      <c r="B17" s="15"/>
      <c r="C17" s="973">
        <f>+WORKING!B17</f>
        <v>0</v>
      </c>
      <c r="D17" s="935">
        <f t="shared" si="3"/>
        <v>12</v>
      </c>
      <c r="E17" s="938">
        <f t="shared" si="4"/>
        <v>29300</v>
      </c>
      <c r="F17" s="941">
        <f t="shared" si="5"/>
        <v>0</v>
      </c>
      <c r="G17" s="931">
        <f>+WORKING!F17</f>
        <v>0.17</v>
      </c>
      <c r="H17" s="433">
        <f>+WORKING!G17</f>
        <v>44531</v>
      </c>
      <c r="I17" s="1192">
        <f>+WORKING!H17</f>
        <v>25800</v>
      </c>
      <c r="J17" s="441"/>
      <c r="K17" s="1191">
        <f>+WORKING!J17</f>
        <v>4386</v>
      </c>
      <c r="L17" s="1191">
        <f>+WORKING!K17</f>
        <v>2600</v>
      </c>
      <c r="M17" s="1191">
        <f>+WORKING!L17</f>
        <v>500</v>
      </c>
      <c r="N17" s="442"/>
      <c r="O17" s="443">
        <f t="shared" si="6"/>
        <v>33286</v>
      </c>
      <c r="P17" s="467">
        <f>+WORKING!O17</f>
        <v>0</v>
      </c>
      <c r="Q17" s="468">
        <f>+WORKING!P17</f>
        <v>200</v>
      </c>
      <c r="R17" s="468">
        <f>+WORKING!Q17</f>
        <v>0</v>
      </c>
      <c r="S17" s="468">
        <f>+WORKING!R17</f>
        <v>0</v>
      </c>
      <c r="T17" s="468">
        <f>+WORKING!S17</f>
        <v>0</v>
      </c>
      <c r="U17" s="471"/>
      <c r="V17" s="469">
        <f>+WORKING!U17</f>
        <v>0</v>
      </c>
      <c r="W17" s="410">
        <f t="shared" si="15"/>
        <v>-9398</v>
      </c>
      <c r="X17" s="404">
        <f t="shared" si="16"/>
        <v>12</v>
      </c>
      <c r="AB17" s="156">
        <v>1</v>
      </c>
      <c r="AC17" s="231">
        <f>DATE(2021,1,1)</f>
        <v>44197</v>
      </c>
      <c r="AD17" s="235"/>
      <c r="AE17" s="235"/>
      <c r="AF17" s="241">
        <f>DATE(2021,1,1)</f>
        <v>44197</v>
      </c>
      <c r="AG17" s="152">
        <f>ROUND(+AG8/2,0)</f>
        <v>375</v>
      </c>
      <c r="AH17" s="107"/>
      <c r="AI17" s="107"/>
      <c r="AJ17" s="146"/>
      <c r="AK17" s="25">
        <f>IF($C$16=0,0,VLOOKUP($H$21,$H$8:$M$17,5)/$C$16)</f>
        <v>0</v>
      </c>
      <c r="AL17" s="107"/>
      <c r="AM17" s="25">
        <f>IF($C$19=0,0,VLOOKUP($H$22,$H$18:$M$19,5)/$C$19)</f>
        <v>0</v>
      </c>
      <c r="AN17" s="107"/>
      <c r="AO17" s="388">
        <f>ROUND(W16/3,0)</f>
        <v>-3133</v>
      </c>
      <c r="AP17" s="387" t="e">
        <f>CEILING(AO17,100)</f>
        <v>#NUM!</v>
      </c>
      <c r="AQ17" s="107"/>
      <c r="AR17" s="107"/>
      <c r="AS17" s="107"/>
      <c r="AT17" s="153" t="s">
        <v>82</v>
      </c>
      <c r="AU17" s="133" t="s">
        <v>81</v>
      </c>
      <c r="AV17" s="133"/>
      <c r="AW17" s="133"/>
      <c r="AX17" s="134"/>
      <c r="AY17" s="154">
        <f>+V43</f>
        <v>0</v>
      </c>
      <c r="AZ17" s="107"/>
      <c r="BA17" s="107"/>
      <c r="BB17" s="107"/>
      <c r="BC17" s="905">
        <v>50201</v>
      </c>
      <c r="BD17" s="905">
        <v>6200</v>
      </c>
      <c r="BE17" s="378"/>
      <c r="BF17" s="378"/>
      <c r="BG17" s="378"/>
      <c r="BH17" s="107"/>
      <c r="BI17" s="107"/>
      <c r="BJ17" s="136"/>
      <c r="BM17">
        <f t="shared" si="10"/>
        <v>25800</v>
      </c>
      <c r="BN17">
        <f t="shared" si="10"/>
        <v>0</v>
      </c>
      <c r="BO17">
        <f t="shared" si="11"/>
        <v>25800</v>
      </c>
      <c r="BP17">
        <f t="shared" si="12"/>
        <v>2600</v>
      </c>
      <c r="BQ17">
        <f t="shared" si="13"/>
        <v>500</v>
      </c>
      <c r="BS17" s="905">
        <v>50201</v>
      </c>
      <c r="BT17" s="905">
        <v>6200</v>
      </c>
      <c r="BZ17" s="910">
        <f t="shared" si="14"/>
        <v>10</v>
      </c>
      <c r="CA17" s="913">
        <v>60600</v>
      </c>
      <c r="CB17" s="913"/>
      <c r="CC17" s="913"/>
      <c r="CD17" s="913">
        <f t="shared" si="7"/>
        <v>10</v>
      </c>
      <c r="CE17" s="914">
        <v>191800</v>
      </c>
      <c r="CH17" s="911">
        <f t="shared" si="8"/>
        <v>10</v>
      </c>
      <c r="CI17" s="912">
        <v>7000</v>
      </c>
      <c r="CQ17" s="32">
        <f t="shared" si="9"/>
        <v>29300</v>
      </c>
      <c r="CR17">
        <f t="shared" si="1"/>
        <v>879</v>
      </c>
      <c r="CS17" s="917">
        <f t="shared" si="2"/>
        <v>900</v>
      </c>
    </row>
    <row r="18" spans="2:97" ht="18.75" thickBot="1">
      <c r="B18" s="103" t="s">
        <v>399</v>
      </c>
      <c r="C18" s="973">
        <f>+WORKING!B18</f>
        <v>0</v>
      </c>
      <c r="D18" s="935">
        <f t="shared" si="3"/>
        <v>13</v>
      </c>
      <c r="E18" s="938">
        <f t="shared" si="4"/>
        <v>30200</v>
      </c>
      <c r="F18" s="941">
        <f t="shared" si="5"/>
        <v>0</v>
      </c>
      <c r="G18" s="931">
        <f>+WORKING!F18</f>
        <v>0.31</v>
      </c>
      <c r="H18" s="433">
        <f>+WORKING!G18</f>
        <v>44562</v>
      </c>
      <c r="I18" s="1192">
        <f>+WORKING!H18</f>
        <v>25800</v>
      </c>
      <c r="J18" s="441"/>
      <c r="K18" s="1191">
        <f>+WORKING!J18</f>
        <v>7998</v>
      </c>
      <c r="L18" s="1191">
        <f>+WORKING!K18</f>
        <v>2600</v>
      </c>
      <c r="M18" s="1191">
        <f>+WORKING!L18</f>
        <v>500</v>
      </c>
      <c r="N18" s="442"/>
      <c r="O18" s="443">
        <f t="shared" si="6"/>
        <v>36898</v>
      </c>
      <c r="P18" s="467">
        <f>+WORKING!O18</f>
        <v>0</v>
      </c>
      <c r="Q18" s="468">
        <f>+WORKING!P18</f>
        <v>200</v>
      </c>
      <c r="R18" s="468">
        <f>+WORKING!Q18</f>
        <v>0</v>
      </c>
      <c r="S18" s="468">
        <f>+WORKING!R18</f>
        <v>0</v>
      </c>
      <c r="T18" s="468">
        <f>+WORKING!S18</f>
        <v>0</v>
      </c>
      <c r="U18" s="471">
        <f>+WORKING!T18</f>
        <v>1250</v>
      </c>
      <c r="V18" s="469">
        <f>+WORKING!U18</f>
        <v>0</v>
      </c>
      <c r="W18" s="410">
        <f t="shared" si="15"/>
        <v>-9398</v>
      </c>
      <c r="X18" s="405">
        <v>1</v>
      </c>
      <c r="AB18" s="156">
        <v>2</v>
      </c>
      <c r="AC18" s="231">
        <f>DATE(2021,2,1)</f>
        <v>44228</v>
      </c>
      <c r="AD18" s="235"/>
      <c r="AE18" s="235"/>
      <c r="AF18" s="241">
        <f>DATE(2021,2,1)</f>
        <v>44228</v>
      </c>
      <c r="AG18" s="152">
        <f>ROUND(+AG9/2,0)</f>
        <v>375</v>
      </c>
      <c r="AH18" s="107"/>
      <c r="AI18" s="107"/>
      <c r="AJ18" s="146"/>
      <c r="AK18" s="25">
        <f>IF($C$16=0,0,VLOOKUP($H$21,$H$8:$M$17,6)/$C$16)</f>
        <v>0</v>
      </c>
      <c r="AL18" s="107"/>
      <c r="AM18" s="243">
        <f>IF($C$19=0,0,VLOOKUP($H$22,$H$18:$M$19,6)/$C$19)</f>
        <v>0</v>
      </c>
      <c r="AN18" s="107"/>
      <c r="AO18" s="388">
        <f>ROUND(W17/2,0)</f>
        <v>-4699</v>
      </c>
      <c r="AP18" s="387" t="e">
        <f>CEILING(AO18,100)</f>
        <v>#NUM!</v>
      </c>
      <c r="AQ18" s="107"/>
      <c r="AR18" s="107"/>
      <c r="AS18" s="107"/>
      <c r="AT18" s="125"/>
      <c r="AU18" s="149" t="s">
        <v>3</v>
      </c>
      <c r="AV18" s="149"/>
      <c r="AW18" s="149"/>
      <c r="AX18" s="107"/>
      <c r="AY18" s="155">
        <f>+AY16+AY17</f>
        <v>12400</v>
      </c>
      <c r="AZ18" s="107"/>
      <c r="BA18" s="107"/>
      <c r="BB18" s="107"/>
      <c r="BC18" s="905">
        <v>51601</v>
      </c>
      <c r="BD18" s="905">
        <v>6800</v>
      </c>
      <c r="BE18" s="378"/>
      <c r="BF18" s="378"/>
      <c r="BG18" s="378"/>
      <c r="BH18" s="107"/>
      <c r="BI18" s="107"/>
      <c r="BJ18" s="136"/>
      <c r="BM18">
        <f t="shared" si="10"/>
        <v>25800</v>
      </c>
      <c r="BN18">
        <f t="shared" si="10"/>
        <v>0</v>
      </c>
      <c r="BO18">
        <f t="shared" si="11"/>
        <v>25800</v>
      </c>
      <c r="BP18">
        <f t="shared" si="12"/>
        <v>2600</v>
      </c>
      <c r="BQ18">
        <f t="shared" si="13"/>
        <v>500</v>
      </c>
      <c r="BS18" s="905">
        <v>51601</v>
      </c>
      <c r="BT18" s="905">
        <v>6800</v>
      </c>
      <c r="BZ18" s="910">
        <f t="shared" si="14"/>
        <v>11</v>
      </c>
      <c r="CA18" s="913">
        <v>125200</v>
      </c>
      <c r="CB18" s="913"/>
      <c r="CC18" s="913"/>
      <c r="CD18" s="913">
        <f t="shared" si="7"/>
        <v>11</v>
      </c>
      <c r="CE18" s="914">
        <v>219800</v>
      </c>
      <c r="CH18" s="911">
        <f t="shared" si="8"/>
        <v>11</v>
      </c>
      <c r="CI18" s="912">
        <v>8700</v>
      </c>
      <c r="CQ18" s="32">
        <f t="shared" si="9"/>
        <v>30200</v>
      </c>
      <c r="CR18">
        <f t="shared" si="1"/>
        <v>906</v>
      </c>
      <c r="CS18" s="917">
        <f t="shared" si="2"/>
        <v>900</v>
      </c>
    </row>
    <row r="19" spans="2:97" ht="18">
      <c r="B19" s="15"/>
      <c r="C19" s="973">
        <f>+WORKING!B19</f>
        <v>0</v>
      </c>
      <c r="D19" s="935">
        <f t="shared" si="3"/>
        <v>14</v>
      </c>
      <c r="E19" s="938">
        <f t="shared" si="4"/>
        <v>31100</v>
      </c>
      <c r="F19" s="941">
        <f t="shared" si="5"/>
        <v>0</v>
      </c>
      <c r="G19" s="931">
        <f>+WORKING!F19</f>
        <v>0.31</v>
      </c>
      <c r="H19" s="433">
        <f>+WORKING!G19</f>
        <v>44593</v>
      </c>
      <c r="I19" s="1192">
        <f>+WORKING!H19</f>
        <v>25800</v>
      </c>
      <c r="J19" s="441"/>
      <c r="K19" s="1191">
        <f>+WORKING!J19</f>
        <v>7998</v>
      </c>
      <c r="L19" s="1191">
        <f>+WORKING!K19</f>
        <v>2600</v>
      </c>
      <c r="M19" s="1191">
        <f>+WORKING!L19</f>
        <v>500</v>
      </c>
      <c r="N19" s="442"/>
      <c r="O19" s="443">
        <f t="shared" si="6"/>
        <v>36898</v>
      </c>
      <c r="P19" s="467">
        <f>+WORKING!O19</f>
        <v>0</v>
      </c>
      <c r="Q19" s="468">
        <f>+WORKING!P19</f>
        <v>200</v>
      </c>
      <c r="R19" s="468">
        <f>+WORKING!Q19</f>
        <v>0</v>
      </c>
      <c r="S19" s="468">
        <f>+WORKING!R19</f>
        <v>0</v>
      </c>
      <c r="T19" s="468">
        <f>+WORKING!S19</f>
        <v>0</v>
      </c>
      <c r="U19" s="471"/>
      <c r="V19" s="469">
        <f>+WORKING!U19</f>
        <v>-9398</v>
      </c>
      <c r="W19" s="410">
        <f t="shared" si="15"/>
        <v>0</v>
      </c>
      <c r="X19" s="405">
        <f t="shared" si="16"/>
        <v>2</v>
      </c>
      <c r="AB19" s="156">
        <v>3</v>
      </c>
      <c r="AC19" s="232">
        <v>0</v>
      </c>
      <c r="AD19" s="235"/>
      <c r="AE19" s="235"/>
      <c r="AF19" s="240"/>
      <c r="AG19" s="152"/>
      <c r="AH19" s="107"/>
      <c r="AI19" s="107"/>
      <c r="AJ19" s="146"/>
      <c r="AK19" s="242">
        <f>SUM(AK14:AK18)</f>
        <v>0</v>
      </c>
      <c r="AL19" s="107"/>
      <c r="AM19" s="242">
        <f>SUM(AM14:AM18)</f>
        <v>0</v>
      </c>
      <c r="AN19" s="107"/>
      <c r="AO19" s="388">
        <f>ROUND(W18/1,0)</f>
        <v>-9398</v>
      </c>
      <c r="AP19" s="387" t="e">
        <f>CEILING(AO19,100)</f>
        <v>#NUM!</v>
      </c>
      <c r="AQ19" s="107"/>
      <c r="AR19" s="107"/>
      <c r="AS19" s="107"/>
      <c r="AT19" s="125">
        <v>10</v>
      </c>
      <c r="AU19" s="149" t="str">
        <f>+I45</f>
        <v>SAVINGS TOTAL</v>
      </c>
      <c r="AV19" s="149"/>
      <c r="AW19" s="149"/>
      <c r="AX19" s="149"/>
      <c r="AY19" s="158">
        <f>+V45</f>
        <v>319250</v>
      </c>
      <c r="AZ19" s="107"/>
      <c r="BA19" s="107"/>
      <c r="BB19" s="107"/>
      <c r="BC19" s="905">
        <v>54001</v>
      </c>
      <c r="BD19" s="905">
        <v>7300</v>
      </c>
      <c r="BE19" s="378"/>
      <c r="BF19" s="378"/>
      <c r="BG19" s="378"/>
      <c r="BH19" s="107"/>
      <c r="BI19" s="107"/>
      <c r="BJ19" s="136"/>
      <c r="BM19">
        <f t="shared" si="10"/>
        <v>25800</v>
      </c>
      <c r="BN19">
        <f t="shared" si="10"/>
        <v>0</v>
      </c>
      <c r="BO19">
        <f t="shared" si="11"/>
        <v>25800</v>
      </c>
      <c r="BP19">
        <f t="shared" si="12"/>
        <v>2600</v>
      </c>
      <c r="BQ19">
        <f t="shared" si="13"/>
        <v>500</v>
      </c>
      <c r="BS19" s="905">
        <v>54001</v>
      </c>
      <c r="BT19" s="905">
        <v>7300</v>
      </c>
      <c r="BZ19" s="910">
        <f t="shared" si="14"/>
        <v>12</v>
      </c>
      <c r="CA19" s="913">
        <v>36700</v>
      </c>
      <c r="CB19" s="913"/>
      <c r="CC19" s="913"/>
      <c r="CD19" s="913">
        <f t="shared" si="7"/>
        <v>12</v>
      </c>
      <c r="CE19" s="914">
        <v>116200</v>
      </c>
      <c r="CH19" s="911">
        <f t="shared" si="8"/>
        <v>12</v>
      </c>
      <c r="CI19" s="912">
        <v>4400</v>
      </c>
      <c r="CQ19" s="32">
        <f t="shared" si="9"/>
        <v>31100</v>
      </c>
      <c r="CR19">
        <f t="shared" si="1"/>
        <v>933</v>
      </c>
      <c r="CS19" s="917">
        <f t="shared" si="2"/>
        <v>900</v>
      </c>
    </row>
    <row r="20" spans="2:97" ht="18">
      <c r="B20" s="500" t="s">
        <v>242</v>
      </c>
      <c r="C20" s="928" t="str">
        <f>+WORKING!B20</f>
        <v>Y</v>
      </c>
      <c r="D20" s="935">
        <f t="shared" si="3"/>
        <v>15</v>
      </c>
      <c r="E20" s="938">
        <f t="shared" si="4"/>
        <v>32000</v>
      </c>
      <c r="F20" s="941">
        <f t="shared" si="5"/>
        <v>0</v>
      </c>
      <c r="G20" s="932"/>
      <c r="H20" s="444" t="s">
        <v>29</v>
      </c>
      <c r="I20" s="445"/>
      <c r="J20" s="441"/>
      <c r="K20" s="441"/>
      <c r="L20" s="441"/>
      <c r="M20" s="441"/>
      <c r="N20" s="442"/>
      <c r="O20" s="443"/>
      <c r="P20" s="470"/>
      <c r="Q20" s="471"/>
      <c r="R20" s="471"/>
      <c r="S20" s="471"/>
      <c r="T20" s="471"/>
      <c r="U20" s="471"/>
      <c r="V20" s="472"/>
      <c r="W20" s="409"/>
      <c r="X20" s="402"/>
      <c r="AB20" s="156">
        <v>4</v>
      </c>
      <c r="AC20" s="232">
        <v>0</v>
      </c>
      <c r="AD20" s="235"/>
      <c r="AE20" s="235"/>
      <c r="AF20" s="233"/>
      <c r="AG20" s="159"/>
      <c r="AH20" s="107"/>
      <c r="AI20" s="107"/>
      <c r="AJ20" s="146"/>
      <c r="AK20" s="107"/>
      <c r="AL20" s="107"/>
      <c r="AM20" s="107"/>
      <c r="AN20" s="107"/>
      <c r="AO20" s="382">
        <v>0</v>
      </c>
      <c r="AP20" s="382">
        <v>0</v>
      </c>
      <c r="AQ20" s="107"/>
      <c r="AR20" s="107"/>
      <c r="AS20" s="107"/>
      <c r="AT20" s="125">
        <v>11</v>
      </c>
      <c r="AU20" s="149" t="str">
        <f>+AY6</f>
        <v>UPTO RS.250000/= (   NIL  )</v>
      </c>
      <c r="AV20" s="149"/>
      <c r="AW20" s="149"/>
      <c r="AX20" s="149"/>
      <c r="AY20" s="160">
        <f>+AR6</f>
        <v>250000</v>
      </c>
      <c r="AZ20" s="107"/>
      <c r="BA20" s="107"/>
      <c r="BB20" s="107"/>
      <c r="BC20" s="905">
        <v>55501</v>
      </c>
      <c r="BD20" s="905">
        <v>7500</v>
      </c>
      <c r="BE20" s="378"/>
      <c r="BF20" s="378"/>
      <c r="BG20" s="378"/>
      <c r="BH20" s="107"/>
      <c r="BI20" s="107"/>
      <c r="BJ20" s="136"/>
      <c r="BS20" s="905">
        <v>55501</v>
      </c>
      <c r="BT20" s="905">
        <v>7500</v>
      </c>
      <c r="BZ20" s="910">
        <f t="shared" si="14"/>
        <v>13</v>
      </c>
      <c r="CA20" s="913">
        <v>21300</v>
      </c>
      <c r="CB20" s="913"/>
      <c r="CC20" s="913"/>
      <c r="CD20" s="913">
        <f t="shared" si="7"/>
        <v>13</v>
      </c>
      <c r="CE20" s="914">
        <v>67800</v>
      </c>
      <c r="CH20" s="911">
        <f t="shared" si="8"/>
        <v>13</v>
      </c>
      <c r="CI20" s="912">
        <v>2900</v>
      </c>
      <c r="CQ20" s="32">
        <f t="shared" si="9"/>
        <v>32000</v>
      </c>
      <c r="CR20">
        <f t="shared" si="1"/>
        <v>960</v>
      </c>
      <c r="CS20" s="917">
        <f t="shared" si="2"/>
        <v>1000</v>
      </c>
    </row>
    <row r="21" spans="2:97" ht="18.75" thickBot="1">
      <c r="B21" s="921" t="s">
        <v>282</v>
      </c>
      <c r="C21" s="928" t="str">
        <f>+WORKING!B21</f>
        <v>Y</v>
      </c>
      <c r="D21" s="935">
        <f t="shared" si="3"/>
        <v>16</v>
      </c>
      <c r="E21" s="938">
        <f t="shared" si="4"/>
        <v>33000</v>
      </c>
      <c r="F21" s="941">
        <f t="shared" si="5"/>
        <v>0</v>
      </c>
      <c r="G21" s="932"/>
      <c r="H21" s="446" t="str">
        <f>+WORKING!G21</f>
        <v> </v>
      </c>
      <c r="I21" s="447"/>
      <c r="J21" s="448"/>
      <c r="K21" s="448"/>
      <c r="L21" s="448"/>
      <c r="M21" s="448"/>
      <c r="N21" s="449"/>
      <c r="O21" s="450">
        <f>+AK19</f>
        <v>0</v>
      </c>
      <c r="P21" s="470"/>
      <c r="Q21" s="471"/>
      <c r="R21" s="471"/>
      <c r="S21" s="471"/>
      <c r="T21" s="471"/>
      <c r="U21" s="471"/>
      <c r="V21" s="472"/>
      <c r="W21" s="411"/>
      <c r="X21" s="406">
        <v>4</v>
      </c>
      <c r="AB21" s="156">
        <v>5</v>
      </c>
      <c r="AC21" s="232">
        <v>0</v>
      </c>
      <c r="AD21" s="235"/>
      <c r="AE21" s="235"/>
      <c r="AF21" s="233" t="s">
        <v>70</v>
      </c>
      <c r="AG21" s="159">
        <v>0</v>
      </c>
      <c r="AH21" s="107"/>
      <c r="AI21" s="107"/>
      <c r="AJ21" s="146"/>
      <c r="AK21" s="107"/>
      <c r="AL21" s="107"/>
      <c r="AM21" s="107"/>
      <c r="AN21" s="107"/>
      <c r="AO21" s="78">
        <v>1</v>
      </c>
      <c r="AP21" s="78">
        <f>V19</f>
        <v>-9398</v>
      </c>
      <c r="AQ21" s="107"/>
      <c r="AR21" s="107"/>
      <c r="AS21" s="107"/>
      <c r="AT21" s="149"/>
      <c r="AU21" s="149"/>
      <c r="AV21" s="149"/>
      <c r="AW21" s="149"/>
      <c r="AX21" s="149"/>
      <c r="AY21" s="155">
        <f>+AY19-AY20</f>
        <v>69250</v>
      </c>
      <c r="AZ21" s="107"/>
      <c r="BA21" s="107"/>
      <c r="BB21" s="107"/>
      <c r="BC21" s="905">
        <v>56901</v>
      </c>
      <c r="BD21" s="905">
        <v>7800</v>
      </c>
      <c r="BE21" s="378"/>
      <c r="BF21" s="378"/>
      <c r="BG21" s="378"/>
      <c r="BH21" s="107"/>
      <c r="BI21" s="107"/>
      <c r="BJ21" s="136"/>
      <c r="BS21" s="905">
        <v>56901</v>
      </c>
      <c r="BT21" s="905">
        <v>7800</v>
      </c>
      <c r="BZ21" s="910">
        <f t="shared" si="14"/>
        <v>14</v>
      </c>
      <c r="CA21" s="913">
        <v>127400</v>
      </c>
      <c r="CB21" s="913"/>
      <c r="CC21" s="913"/>
      <c r="CD21" s="913">
        <f t="shared" si="7"/>
        <v>14</v>
      </c>
      <c r="CE21" s="914">
        <v>223300</v>
      </c>
      <c r="CH21" s="911">
        <f t="shared" si="8"/>
        <v>14</v>
      </c>
      <c r="CI21" s="912">
        <v>9500</v>
      </c>
      <c r="CQ21" s="32">
        <f t="shared" si="9"/>
        <v>33000</v>
      </c>
      <c r="CR21">
        <f t="shared" si="1"/>
        <v>990</v>
      </c>
      <c r="CS21" s="917">
        <f t="shared" si="2"/>
        <v>1000</v>
      </c>
    </row>
    <row r="22" spans="2:97" ht="18.75" thickBot="1">
      <c r="B22" s="922" t="s">
        <v>64</v>
      </c>
      <c r="C22" s="23"/>
      <c r="D22" s="935">
        <f t="shared" si="3"/>
        <v>17</v>
      </c>
      <c r="E22" s="938">
        <f t="shared" si="4"/>
        <v>34000</v>
      </c>
      <c r="F22" s="941">
        <f t="shared" si="5"/>
        <v>0</v>
      </c>
      <c r="G22" s="33"/>
      <c r="H22" s="451" t="str">
        <f>+WORKING!G22</f>
        <v> </v>
      </c>
      <c r="I22" s="452"/>
      <c r="J22" s="453"/>
      <c r="K22" s="453"/>
      <c r="L22" s="453"/>
      <c r="M22" s="453"/>
      <c r="N22" s="454"/>
      <c r="O22" s="455">
        <f>+AM19</f>
        <v>0</v>
      </c>
      <c r="P22" s="473"/>
      <c r="Q22" s="474"/>
      <c r="R22" s="474"/>
      <c r="S22" s="474"/>
      <c r="T22" s="474"/>
      <c r="U22" s="474"/>
      <c r="V22" s="475"/>
      <c r="W22" s="412"/>
      <c r="X22" s="407">
        <f>VLOOKUP(X21,AO20:AP25,2)</f>
        <v>-9398</v>
      </c>
      <c r="AB22" s="156">
        <v>6</v>
      </c>
      <c r="AC22" s="232">
        <v>0</v>
      </c>
      <c r="AD22" s="235"/>
      <c r="AE22" s="235"/>
      <c r="AF22" s="233" t="s">
        <v>72</v>
      </c>
      <c r="AG22" s="162">
        <v>8400</v>
      </c>
      <c r="AH22" s="107"/>
      <c r="AI22" s="107"/>
      <c r="AJ22" s="146"/>
      <c r="AK22" s="107"/>
      <c r="AL22" s="107"/>
      <c r="AM22" s="107"/>
      <c r="AN22" s="107"/>
      <c r="AO22" s="78">
        <v>2</v>
      </c>
      <c r="AP22" s="389">
        <f>+V18+V19</f>
        <v>-9398</v>
      </c>
      <c r="AQ22" s="107"/>
      <c r="AR22" s="107"/>
      <c r="AS22" s="107"/>
      <c r="AT22" s="107"/>
      <c r="AU22" s="1712" t="str">
        <f>VLOOKUP(AP6,AX9:AY10,2)</f>
        <v>250001  TO  500000  5%</v>
      </c>
      <c r="AV22" s="1712"/>
      <c r="AW22" s="1712"/>
      <c r="AX22" s="163">
        <f>VLOOKUP(AP6,AX12:AY13,2)</f>
        <v>69250</v>
      </c>
      <c r="AY22" s="164">
        <f>ROUND(+AX22*10%,0)</f>
        <v>6925</v>
      </c>
      <c r="AZ22" s="107"/>
      <c r="BA22" s="107"/>
      <c r="BB22" s="107"/>
      <c r="BC22" s="906">
        <v>64201</v>
      </c>
      <c r="BD22" s="905">
        <v>8300</v>
      </c>
      <c r="BE22" s="378"/>
      <c r="BF22" s="378"/>
      <c r="BG22" s="378"/>
      <c r="BH22" s="107"/>
      <c r="BI22" s="107"/>
      <c r="BJ22" s="136"/>
      <c r="BS22" s="906">
        <v>64201</v>
      </c>
      <c r="BT22" s="905">
        <v>8300</v>
      </c>
      <c r="BZ22" s="910">
        <f t="shared" si="14"/>
        <v>15</v>
      </c>
      <c r="CA22" s="913">
        <v>16200</v>
      </c>
      <c r="CB22" s="913"/>
      <c r="CC22" s="913"/>
      <c r="CD22" s="913">
        <f t="shared" si="7"/>
        <v>15</v>
      </c>
      <c r="CE22" s="913">
        <v>51500</v>
      </c>
      <c r="CH22" s="911">
        <f t="shared" si="8"/>
        <v>15</v>
      </c>
      <c r="CI22" s="911">
        <v>1400</v>
      </c>
      <c r="CQ22" s="32">
        <f t="shared" si="9"/>
        <v>34000</v>
      </c>
      <c r="CR22">
        <f t="shared" si="1"/>
        <v>1020</v>
      </c>
      <c r="CS22" s="917">
        <f t="shared" si="2"/>
        <v>1000</v>
      </c>
    </row>
    <row r="23" spans="2:97" ht="18.75" thickBot="1">
      <c r="B23" s="923">
        <f>+C5</f>
        <v>25000</v>
      </c>
      <c r="C23" s="23"/>
      <c r="D23" s="935">
        <f t="shared" si="3"/>
        <v>18</v>
      </c>
      <c r="E23" s="938">
        <f t="shared" si="4"/>
        <v>35000</v>
      </c>
      <c r="F23" s="941">
        <f t="shared" si="5"/>
        <v>0</v>
      </c>
      <c r="G23" s="933"/>
      <c r="H23" s="456" t="s">
        <v>3</v>
      </c>
      <c r="I23" s="457">
        <f>SUM(I8:I19)</f>
        <v>308800</v>
      </c>
      <c r="J23" s="458">
        <f>SUM(J8:J19)</f>
        <v>0</v>
      </c>
      <c r="K23" s="458">
        <f>SUM(K8:K19)</f>
        <v>59720</v>
      </c>
      <c r="L23" s="458">
        <f>SUM(L8:L19)</f>
        <v>31200</v>
      </c>
      <c r="M23" s="458">
        <f>SUM(M8:M19)</f>
        <v>6000</v>
      </c>
      <c r="N23" s="459"/>
      <c r="O23" s="460">
        <f aca="true" t="shared" si="17" ref="O23:V23">SUM(O8:O22)</f>
        <v>405720</v>
      </c>
      <c r="P23" s="476">
        <f t="shared" si="17"/>
        <v>0</v>
      </c>
      <c r="Q23" s="477">
        <f t="shared" si="17"/>
        <v>2400</v>
      </c>
      <c r="R23" s="477">
        <f t="shared" si="17"/>
        <v>0</v>
      </c>
      <c r="S23" s="477">
        <f t="shared" si="17"/>
        <v>0</v>
      </c>
      <c r="T23" s="477">
        <f t="shared" si="17"/>
        <v>0</v>
      </c>
      <c r="U23" s="477">
        <f t="shared" si="17"/>
        <v>2500</v>
      </c>
      <c r="V23" s="478">
        <f t="shared" si="17"/>
        <v>-9398</v>
      </c>
      <c r="W23" s="419">
        <f>W7</f>
        <v>-9398</v>
      </c>
      <c r="X23" s="521">
        <f>+V23-W23</f>
        <v>0</v>
      </c>
      <c r="AB23" s="156">
        <v>7</v>
      </c>
      <c r="AC23" s="232">
        <v>0</v>
      </c>
      <c r="AD23" s="235"/>
      <c r="AE23" s="235"/>
      <c r="AF23" s="233" t="str">
        <f>+E3</f>
        <v>S</v>
      </c>
      <c r="AG23" s="162">
        <f>VLOOKUP(+AF23,AF21:AG22,2)</f>
        <v>8400</v>
      </c>
      <c r="AH23" s="107"/>
      <c r="AI23" s="107"/>
      <c r="AJ23" s="137"/>
      <c r="AK23" s="138"/>
      <c r="AL23" s="138"/>
      <c r="AM23" s="138"/>
      <c r="AN23" s="138"/>
      <c r="AO23" s="78">
        <v>3</v>
      </c>
      <c r="AP23" s="389">
        <f>+V17+V18+V19</f>
        <v>-9398</v>
      </c>
      <c r="AQ23" s="138"/>
      <c r="AR23" s="138"/>
      <c r="AS23" s="138"/>
      <c r="AT23" s="138"/>
      <c r="AU23" s="149" t="s">
        <v>225</v>
      </c>
      <c r="AV23" s="149"/>
      <c r="AW23" s="149"/>
      <c r="AX23" s="165">
        <f>IF(AY21&gt;500000,BI7,IF(AY21&lt;1000000,BI6,0))</f>
        <v>0</v>
      </c>
      <c r="AY23" s="164">
        <f>ROUND(+AX23*20%,0)</f>
        <v>0</v>
      </c>
      <c r="AZ23" s="138"/>
      <c r="BA23" s="138"/>
      <c r="BB23" s="138"/>
      <c r="BC23" s="906">
        <v>64201</v>
      </c>
      <c r="BD23" s="906">
        <v>8300</v>
      </c>
      <c r="BE23" s="378"/>
      <c r="BF23" s="378"/>
      <c r="BG23" s="378"/>
      <c r="BH23" s="138"/>
      <c r="BI23" s="138"/>
      <c r="BJ23" s="127"/>
      <c r="BS23" s="906">
        <v>64201</v>
      </c>
      <c r="BT23" s="906">
        <v>8300</v>
      </c>
      <c r="BZ23" s="910">
        <f t="shared" si="14"/>
        <v>16</v>
      </c>
      <c r="CA23" s="913">
        <v>4100</v>
      </c>
      <c r="CB23" s="913"/>
      <c r="CC23" s="913"/>
      <c r="CD23" s="913">
        <f>+BZ23</f>
        <v>16</v>
      </c>
      <c r="CE23" s="914">
        <v>12500</v>
      </c>
      <c r="CH23" s="911">
        <f>+CD23</f>
        <v>16</v>
      </c>
      <c r="CI23" s="911">
        <v>300</v>
      </c>
      <c r="CQ23" s="32">
        <f t="shared" si="9"/>
        <v>35000</v>
      </c>
      <c r="CR23">
        <f t="shared" si="1"/>
        <v>1050</v>
      </c>
      <c r="CS23" s="917">
        <f t="shared" si="2"/>
        <v>1100</v>
      </c>
    </row>
    <row r="24" spans="2:97" ht="18">
      <c r="B24" s="923">
        <f>+C4</f>
        <v>4</v>
      </c>
      <c r="C24" s="23"/>
      <c r="D24" s="935">
        <f t="shared" si="3"/>
        <v>19</v>
      </c>
      <c r="E24" s="938">
        <f t="shared" si="4"/>
        <v>36100</v>
      </c>
      <c r="F24" s="941">
        <f t="shared" si="5"/>
        <v>0</v>
      </c>
      <c r="H24" s="190" t="s">
        <v>30</v>
      </c>
      <c r="I24" s="191"/>
      <c r="J24" s="191"/>
      <c r="K24" s="191"/>
      <c r="L24" s="191"/>
      <c r="M24" s="191"/>
      <c r="N24" s="192"/>
      <c r="O24" s="415">
        <f>+AG23</f>
        <v>8400</v>
      </c>
      <c r="P24" s="1716" t="s">
        <v>431</v>
      </c>
      <c r="Q24" s="1717"/>
      <c r="R24" s="1717"/>
      <c r="S24" s="1717"/>
      <c r="T24" s="1717"/>
      <c r="U24" s="1717"/>
      <c r="V24" s="1718"/>
      <c r="AB24" s="156">
        <v>8</v>
      </c>
      <c r="AC24" s="232">
        <v>0</v>
      </c>
      <c r="AD24" s="235"/>
      <c r="AE24" s="235"/>
      <c r="AF24" s="151"/>
      <c r="AG24" s="157"/>
      <c r="AH24" s="107"/>
      <c r="AI24" s="107"/>
      <c r="AJ24" s="146"/>
      <c r="AK24" s="107"/>
      <c r="AL24" s="107"/>
      <c r="AM24" s="107"/>
      <c r="AN24" s="107"/>
      <c r="AO24" s="78">
        <v>4</v>
      </c>
      <c r="AP24" s="389">
        <f>V16+V17+V18+V19</f>
        <v>-9398</v>
      </c>
      <c r="AQ24" s="107"/>
      <c r="AR24" s="107"/>
      <c r="AS24" s="107"/>
      <c r="AT24" s="107"/>
      <c r="AU24" s="149" t="s">
        <v>226</v>
      </c>
      <c r="AV24" s="149"/>
      <c r="AW24" s="149"/>
      <c r="AX24" s="166">
        <f>IF(AY21&gt;1000000,+BA26-BB26,IF(AY21&lt;1000000,+AY21-AX22-AX23,0))</f>
        <v>0</v>
      </c>
      <c r="AY24" s="167">
        <f>ROUND(+AX24*30%,0)</f>
        <v>0</v>
      </c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36"/>
      <c r="CQ24" s="32">
        <f t="shared" si="9"/>
        <v>36100</v>
      </c>
      <c r="CR24">
        <f t="shared" si="1"/>
        <v>1083</v>
      </c>
      <c r="CS24" s="917">
        <f t="shared" si="2"/>
        <v>1100</v>
      </c>
    </row>
    <row r="25" spans="2:97" ht="18.75" thickBot="1">
      <c r="B25" s="923">
        <f>+B23</f>
        <v>25000</v>
      </c>
      <c r="C25" s="23"/>
      <c r="D25" s="935">
        <f t="shared" si="3"/>
        <v>20</v>
      </c>
      <c r="E25" s="938">
        <f t="shared" si="4"/>
        <v>37200</v>
      </c>
      <c r="F25" s="941">
        <f t="shared" si="5"/>
        <v>0</v>
      </c>
      <c r="H25" s="26" t="s">
        <v>102</v>
      </c>
      <c r="I25" s="7"/>
      <c r="J25" s="7"/>
      <c r="K25" s="7"/>
      <c r="L25" s="7"/>
      <c r="M25" s="7"/>
      <c r="N25" s="185"/>
      <c r="O25" s="186">
        <f>+WORKING!N25</f>
        <v>0</v>
      </c>
      <c r="P25" s="420"/>
      <c r="Q25" s="422" t="s">
        <v>239</v>
      </c>
      <c r="R25" s="422"/>
      <c r="S25" s="422"/>
      <c r="T25" s="422">
        <f>+WORKING!S25</f>
        <v>0</v>
      </c>
      <c r="U25" s="27"/>
      <c r="V25" s="28"/>
      <c r="AB25" s="156">
        <v>9</v>
      </c>
      <c r="AC25" s="232">
        <v>0</v>
      </c>
      <c r="AD25" s="235"/>
      <c r="AE25" s="235"/>
      <c r="AF25" s="151"/>
      <c r="AG25" s="157"/>
      <c r="AH25" s="107"/>
      <c r="AI25" s="107"/>
      <c r="AJ25" s="146"/>
      <c r="AK25" s="107"/>
      <c r="AL25" s="107"/>
      <c r="AM25" s="107"/>
      <c r="AN25" s="107"/>
      <c r="AO25" s="78">
        <v>5</v>
      </c>
      <c r="AP25" s="389">
        <f>V15+V16+V17+V18+V19</f>
        <v>-9398</v>
      </c>
      <c r="AQ25" s="107"/>
      <c r="AR25" s="107"/>
      <c r="AS25" s="107"/>
      <c r="AT25" s="107"/>
      <c r="AU25" s="107"/>
      <c r="AV25" s="107"/>
      <c r="AW25" s="107"/>
      <c r="AX25" s="142">
        <f>SUM(AX22:AX24)</f>
        <v>69250</v>
      </c>
      <c r="AY25" s="142">
        <f>SUM(AY22:AY24)</f>
        <v>6925</v>
      </c>
      <c r="AZ25" s="107"/>
      <c r="BA25" s="182">
        <f>+AY21</f>
        <v>69250</v>
      </c>
      <c r="BB25" s="142">
        <f>+AX22</f>
        <v>69250</v>
      </c>
      <c r="BC25" s="142">
        <f>+BA25-BB25</f>
        <v>0</v>
      </c>
      <c r="BD25" s="107"/>
      <c r="BE25" s="107"/>
      <c r="BF25" s="107"/>
      <c r="BG25" s="107"/>
      <c r="BH25" s="107"/>
      <c r="BI25" s="107"/>
      <c r="BJ25" s="136"/>
      <c r="CQ25" s="32">
        <f t="shared" si="9"/>
        <v>37200</v>
      </c>
      <c r="CR25">
        <f t="shared" si="1"/>
        <v>1116</v>
      </c>
      <c r="CS25" s="917">
        <f t="shared" si="2"/>
        <v>1100</v>
      </c>
    </row>
    <row r="26" spans="2:97" ht="18.75" thickBot="1">
      <c r="B26" s="924">
        <f>ROUND(+B25*3/100,0)</f>
        <v>750</v>
      </c>
      <c r="C26" s="23"/>
      <c r="D26" s="935">
        <f t="shared" si="3"/>
        <v>21</v>
      </c>
      <c r="E26" s="938">
        <f t="shared" si="4"/>
        <v>38300</v>
      </c>
      <c r="F26" s="941">
        <f t="shared" si="5"/>
        <v>0</v>
      </c>
      <c r="G26" s="30"/>
      <c r="H26" s="390" t="str">
        <f>+WORKING!G26</f>
        <v>D.A.ARRS.FOR THE PERIOD FROM 1/2021 TO 2/2021</v>
      </c>
      <c r="I26" s="7"/>
      <c r="J26" s="7"/>
      <c r="K26" s="7"/>
      <c r="L26" s="7"/>
      <c r="M26" s="7"/>
      <c r="N26" s="185"/>
      <c r="O26" s="186">
        <f>WORKING!N26</f>
        <v>4500</v>
      </c>
      <c r="P26" s="420"/>
      <c r="Q26" s="422" t="s">
        <v>240</v>
      </c>
      <c r="R26" s="422"/>
      <c r="S26" s="422"/>
      <c r="T26" s="423">
        <f>+WORKING!S26</f>
        <v>0</v>
      </c>
      <c r="U26" s="27"/>
      <c r="V26" s="28"/>
      <c r="AB26" s="156">
        <v>10</v>
      </c>
      <c r="AC26" s="232">
        <v>0</v>
      </c>
      <c r="AD26" s="235"/>
      <c r="AE26" s="235"/>
      <c r="AF26" s="151"/>
      <c r="AG26" s="157"/>
      <c r="AH26" s="107"/>
      <c r="AI26" s="107"/>
      <c r="AJ26" s="146"/>
      <c r="AK26" s="107"/>
      <c r="AL26" s="107"/>
      <c r="AM26" s="107"/>
      <c r="AN26" s="107"/>
      <c r="AO26" s="107"/>
      <c r="AP26" s="107"/>
      <c r="AQ26" s="107"/>
      <c r="AR26" s="107"/>
      <c r="AS26" s="425">
        <v>0</v>
      </c>
      <c r="AT26" s="426">
        <v>0</v>
      </c>
      <c r="AU26" s="107"/>
      <c r="AV26" s="425">
        <v>0</v>
      </c>
      <c r="AW26" s="426">
        <v>0</v>
      </c>
      <c r="AX26" s="107"/>
      <c r="AY26" s="425">
        <v>0</v>
      </c>
      <c r="AZ26" s="426">
        <v>0</v>
      </c>
      <c r="BA26" s="182">
        <f>+BC25</f>
        <v>0</v>
      </c>
      <c r="BB26" s="142">
        <f>+AX23</f>
        <v>0</v>
      </c>
      <c r="BC26" s="142">
        <f>+BA26-BB26</f>
        <v>0</v>
      </c>
      <c r="BD26" s="107"/>
      <c r="BE26" s="425">
        <v>0</v>
      </c>
      <c r="BF26" s="426">
        <v>0</v>
      </c>
      <c r="BG26" s="107"/>
      <c r="BH26" s="107"/>
      <c r="BI26" s="107"/>
      <c r="BJ26" s="136"/>
      <c r="BM26" s="573"/>
      <c r="BN26" s="574"/>
      <c r="CQ26" s="32">
        <f t="shared" si="9"/>
        <v>38300</v>
      </c>
      <c r="CR26">
        <f t="shared" si="1"/>
        <v>1149</v>
      </c>
      <c r="CS26" s="917">
        <f t="shared" si="2"/>
        <v>1100</v>
      </c>
    </row>
    <row r="27" spans="2:97" ht="18.75" thickBot="1">
      <c r="B27" s="925">
        <f>FLOOR(+B26+50,100)</f>
        <v>800</v>
      </c>
      <c r="C27" s="23"/>
      <c r="D27" s="935">
        <f t="shared" si="3"/>
        <v>22</v>
      </c>
      <c r="E27" s="938">
        <f t="shared" si="4"/>
        <v>39400</v>
      </c>
      <c r="F27" s="941">
        <f t="shared" si="5"/>
        <v>0</v>
      </c>
      <c r="H27" s="26" t="s">
        <v>31</v>
      </c>
      <c r="I27" s="7"/>
      <c r="J27" s="7"/>
      <c r="K27" s="7"/>
      <c r="L27" s="7"/>
      <c r="M27" s="7"/>
      <c r="N27" s="185"/>
      <c r="O27" s="186">
        <f>+WORKING!N27</f>
        <v>0</v>
      </c>
      <c r="P27" s="420"/>
      <c r="Q27" s="422" t="s">
        <v>3</v>
      </c>
      <c r="R27" s="422"/>
      <c r="S27" s="422"/>
      <c r="T27" s="974">
        <f>+WORKING!S27</f>
        <v>0</v>
      </c>
      <c r="U27" s="27"/>
      <c r="V27" s="28"/>
      <c r="AB27" s="156">
        <v>11</v>
      </c>
      <c r="AC27" s="232">
        <v>0</v>
      </c>
      <c r="AD27" s="235"/>
      <c r="AE27" s="235"/>
      <c r="AF27" s="151"/>
      <c r="AG27" s="157"/>
      <c r="AH27" s="107"/>
      <c r="AI27" s="107"/>
      <c r="AJ27" s="146"/>
      <c r="AK27" s="107"/>
      <c r="AL27" s="107"/>
      <c r="AM27" s="107"/>
      <c r="AN27" s="380" t="s">
        <v>232</v>
      </c>
      <c r="AO27" s="107"/>
      <c r="AP27" s="107"/>
      <c r="AQ27" s="107"/>
      <c r="AR27" s="107"/>
      <c r="AS27" s="427">
        <v>1</v>
      </c>
      <c r="AT27" s="428">
        <f>+T29</f>
        <v>0</v>
      </c>
      <c r="AU27" s="107"/>
      <c r="AV27" s="427">
        <v>15001</v>
      </c>
      <c r="AW27" s="428">
        <v>15000</v>
      </c>
      <c r="AX27" s="107"/>
      <c r="AY27" s="427">
        <v>1</v>
      </c>
      <c r="AZ27" s="428">
        <v>300000</v>
      </c>
      <c r="BA27" s="183"/>
      <c r="BB27" s="107"/>
      <c r="BC27" s="107"/>
      <c r="BD27" s="107"/>
      <c r="BE27" s="427">
        <v>250000</v>
      </c>
      <c r="BF27" s="428">
        <f>+I37</f>
        <v>0</v>
      </c>
      <c r="BG27" s="107"/>
      <c r="BH27" s="107"/>
      <c r="BI27" s="107"/>
      <c r="BJ27" s="136"/>
      <c r="BM27" s="575">
        <v>3</v>
      </c>
      <c r="BN27" s="88">
        <v>180</v>
      </c>
      <c r="CQ27" s="32">
        <f t="shared" si="9"/>
        <v>39400</v>
      </c>
      <c r="CR27">
        <f t="shared" si="1"/>
        <v>1182</v>
      </c>
      <c r="CS27" s="917">
        <f t="shared" si="2"/>
        <v>1200</v>
      </c>
    </row>
    <row r="28" spans="2:97" ht="18.75" thickBot="1">
      <c r="B28" s="97">
        <f>+B23+B27</f>
        <v>25800</v>
      </c>
      <c r="C28" s="29"/>
      <c r="D28" s="935">
        <f t="shared" si="3"/>
        <v>23</v>
      </c>
      <c r="E28" s="938">
        <f t="shared" si="4"/>
        <v>40600</v>
      </c>
      <c r="F28" s="941">
        <f t="shared" si="5"/>
        <v>0</v>
      </c>
      <c r="H28" s="26" t="s">
        <v>390</v>
      </c>
      <c r="I28" s="7"/>
      <c r="J28" s="7"/>
      <c r="K28" s="7"/>
      <c r="L28" s="7"/>
      <c r="M28" s="7"/>
      <c r="N28" s="185"/>
      <c r="O28" s="186">
        <f>+WORKING!N28</f>
        <v>0</v>
      </c>
      <c r="P28" s="420"/>
      <c r="Q28" s="422" t="s">
        <v>241</v>
      </c>
      <c r="R28" s="422"/>
      <c r="S28" s="422"/>
      <c r="T28" s="974">
        <f>+WORKING!S28</f>
        <v>0</v>
      </c>
      <c r="U28" s="27"/>
      <c r="V28" s="28"/>
      <c r="AB28" s="156">
        <v>12</v>
      </c>
      <c r="AC28" s="232">
        <v>0</v>
      </c>
      <c r="AD28" s="235"/>
      <c r="AE28" s="235"/>
      <c r="AF28" s="161"/>
      <c r="AG28" s="168"/>
      <c r="AH28" s="107"/>
      <c r="AI28" s="107"/>
      <c r="AJ28" s="146"/>
      <c r="AK28" s="107"/>
      <c r="AL28" s="107"/>
      <c r="AM28" s="382" t="str">
        <f>C11</f>
        <v>Y</v>
      </c>
      <c r="AN28" s="381" t="s">
        <v>235</v>
      </c>
      <c r="AO28" s="382">
        <v>0</v>
      </c>
      <c r="AP28" s="382">
        <f>VLOOKUP(+AM28,AN28:AO29,2)</f>
        <v>31200</v>
      </c>
      <c r="AQ28" s="107"/>
      <c r="AR28" s="107"/>
      <c r="AS28" s="429"/>
      <c r="AT28" s="432"/>
      <c r="AU28" s="107"/>
      <c r="AV28" s="429"/>
      <c r="AW28" s="432"/>
      <c r="AX28" s="107"/>
      <c r="AY28" s="429"/>
      <c r="AZ28" s="432"/>
      <c r="BA28" s="183"/>
      <c r="BB28" s="107"/>
      <c r="BC28" s="107"/>
      <c r="BD28" s="107"/>
      <c r="BE28" s="427">
        <v>250001</v>
      </c>
      <c r="BF28" s="428">
        <v>250000</v>
      </c>
      <c r="BG28" s="107"/>
      <c r="BH28" s="107"/>
      <c r="BI28" s="107"/>
      <c r="BJ28" s="136"/>
      <c r="BM28" s="575">
        <f>+BM27+1</f>
        <v>4</v>
      </c>
      <c r="BN28" s="88">
        <v>180</v>
      </c>
      <c r="CQ28" s="32">
        <f t="shared" si="9"/>
        <v>40600</v>
      </c>
      <c r="CR28">
        <f t="shared" si="1"/>
        <v>1218</v>
      </c>
      <c r="CS28" s="917">
        <f t="shared" si="2"/>
        <v>1200</v>
      </c>
    </row>
    <row r="29" spans="2:97" ht="18.75" thickBot="1">
      <c r="B29" s="919"/>
      <c r="D29" s="935">
        <f t="shared" si="3"/>
        <v>24</v>
      </c>
      <c r="E29" s="938">
        <f t="shared" si="4"/>
        <v>41800</v>
      </c>
      <c r="F29" s="941">
        <f t="shared" si="5"/>
        <v>0</v>
      </c>
      <c r="H29" s="961" t="s">
        <v>3</v>
      </c>
      <c r="I29" s="959">
        <f>+I23</f>
        <v>308800</v>
      </c>
      <c r="J29" s="959">
        <f>+J23</f>
        <v>0</v>
      </c>
      <c r="K29" s="959">
        <f>+K23</f>
        <v>59720</v>
      </c>
      <c r="L29" s="959">
        <f>+L23</f>
        <v>31200</v>
      </c>
      <c r="M29" s="959">
        <f>+M23</f>
        <v>6000</v>
      </c>
      <c r="N29" s="960"/>
      <c r="O29" s="962">
        <f>SUM(O23:O28)</f>
        <v>418620</v>
      </c>
      <c r="P29" s="421"/>
      <c r="Q29" s="424" t="s">
        <v>48</v>
      </c>
      <c r="R29" s="424"/>
      <c r="S29" s="424"/>
      <c r="T29" s="423">
        <f>+WORKING!S29</f>
        <v>0</v>
      </c>
      <c r="U29" s="497">
        <f>IF(T27&gt;300000,T29,IF(T27&lt;300000,0,0))</f>
        <v>0</v>
      </c>
      <c r="V29" s="495"/>
      <c r="AB29" s="146"/>
      <c r="AC29" s="107"/>
      <c r="AD29" s="107"/>
      <c r="AE29" s="107"/>
      <c r="AF29" s="107"/>
      <c r="AG29" s="169"/>
      <c r="AH29" s="170"/>
      <c r="AI29" s="107"/>
      <c r="AJ29" s="146"/>
      <c r="AK29" s="107"/>
      <c r="AL29" s="107"/>
      <c r="AM29" s="382"/>
      <c r="AN29" s="382" t="s">
        <v>234</v>
      </c>
      <c r="AO29" s="585">
        <f>+C14</f>
        <v>31200</v>
      </c>
      <c r="AP29" s="382"/>
      <c r="AQ29" s="107"/>
      <c r="AR29" s="107"/>
      <c r="AS29" s="430"/>
      <c r="AT29" s="431">
        <f>VLOOKUP(+T29,AS26:AT28,2)</f>
        <v>0</v>
      </c>
      <c r="AU29" s="107"/>
      <c r="AV29" s="430"/>
      <c r="AW29" s="431">
        <f>VLOOKUP(I39,AV26:AW28,2)</f>
        <v>0</v>
      </c>
      <c r="AX29" s="107"/>
      <c r="AY29" s="430"/>
      <c r="AZ29" s="431">
        <f>VLOOKUP(T27,AY26:AZ28,2)</f>
        <v>0</v>
      </c>
      <c r="BA29" s="183"/>
      <c r="BB29" s="107"/>
      <c r="BC29" s="107"/>
      <c r="BD29" s="107"/>
      <c r="BE29" s="430"/>
      <c r="BF29" s="431">
        <f>VLOOKUP(I37,BE26:BF28,2)</f>
        <v>0</v>
      </c>
      <c r="BG29" s="107"/>
      <c r="BH29" s="107"/>
      <c r="BI29" s="107"/>
      <c r="BJ29" s="136"/>
      <c r="BM29" s="575">
        <f aca="true" t="shared" si="18" ref="BM29:BM36">+BM28+1</f>
        <v>5</v>
      </c>
      <c r="BN29" s="88">
        <v>180</v>
      </c>
      <c r="CQ29" s="32">
        <f t="shared" si="9"/>
        <v>41800</v>
      </c>
      <c r="CR29">
        <f t="shared" si="1"/>
        <v>1254</v>
      </c>
      <c r="CS29" s="917">
        <f t="shared" si="2"/>
        <v>1300</v>
      </c>
    </row>
    <row r="30" spans="2:97" ht="14.25" customHeight="1" thickBot="1">
      <c r="B30" s="920"/>
      <c r="D30" s="935">
        <f t="shared" si="3"/>
        <v>25</v>
      </c>
      <c r="E30" s="938">
        <f t="shared" si="4"/>
        <v>43100</v>
      </c>
      <c r="F30" s="941">
        <f t="shared" si="5"/>
        <v>0</v>
      </c>
      <c r="H30" s="964"/>
      <c r="I30" s="1719" t="s">
        <v>281</v>
      </c>
      <c r="J30" s="1719"/>
      <c r="K30" s="1719"/>
      <c r="L30" s="1719"/>
      <c r="M30" s="1719"/>
      <c r="N30" s="1719"/>
      <c r="O30" s="965">
        <f>+AP32</f>
        <v>1110</v>
      </c>
      <c r="P30" s="416"/>
      <c r="Q30" s="417">
        <v>9</v>
      </c>
      <c r="R30" s="1645" t="s">
        <v>32</v>
      </c>
      <c r="S30" s="1646"/>
      <c r="T30" s="1646"/>
      <c r="U30" s="1726"/>
      <c r="V30" s="418"/>
      <c r="AH30" s="1"/>
      <c r="AI30" s="37"/>
      <c r="AJ30" s="1"/>
      <c r="AK30" s="1"/>
      <c r="BM30" s="575">
        <f t="shared" si="18"/>
        <v>6</v>
      </c>
      <c r="BN30" s="88">
        <v>180</v>
      </c>
      <c r="CQ30" s="32">
        <f t="shared" si="9"/>
        <v>43100</v>
      </c>
      <c r="CR30">
        <f t="shared" si="1"/>
        <v>1293</v>
      </c>
      <c r="CS30" s="917">
        <f t="shared" si="2"/>
        <v>1300</v>
      </c>
    </row>
    <row r="31" spans="4:97" ht="18">
      <c r="D31" s="935">
        <f>+D30+1</f>
        <v>26</v>
      </c>
      <c r="E31" s="938">
        <f t="shared" si="4"/>
        <v>44400</v>
      </c>
      <c r="F31" s="941">
        <f t="shared" si="5"/>
        <v>0</v>
      </c>
      <c r="H31" s="963">
        <v>1</v>
      </c>
      <c r="I31" s="1713" t="s">
        <v>33</v>
      </c>
      <c r="J31" s="1714"/>
      <c r="K31" s="1714"/>
      <c r="L31" s="1714"/>
      <c r="M31" s="1714"/>
      <c r="N31" s="1715"/>
      <c r="O31" s="944">
        <f>ROUND(+O29,0)+U29-O30</f>
        <v>417510</v>
      </c>
      <c r="P31" s="177"/>
      <c r="Q31" s="179">
        <v>1</v>
      </c>
      <c r="R31" s="1666" t="s">
        <v>73</v>
      </c>
      <c r="S31" s="1667"/>
      <c r="T31" s="1668"/>
      <c r="U31" s="175" t="s">
        <v>36</v>
      </c>
      <c r="V31" s="392">
        <f>+WORKING!U31</f>
        <v>0</v>
      </c>
      <c r="AH31" s="3"/>
      <c r="AI31" s="22"/>
      <c r="AJ31" s="1"/>
      <c r="AK31" s="1"/>
      <c r="AM31" s="107"/>
      <c r="AN31" s="380" t="s">
        <v>282</v>
      </c>
      <c r="AO31" s="107"/>
      <c r="AP31" s="107"/>
      <c r="AQ31" s="107"/>
      <c r="BM31" s="575">
        <f t="shared" si="18"/>
        <v>7</v>
      </c>
      <c r="BN31" s="88">
        <v>180</v>
      </c>
      <c r="CQ31" s="32">
        <f t="shared" si="9"/>
        <v>44400</v>
      </c>
      <c r="CR31">
        <f t="shared" si="1"/>
        <v>1332</v>
      </c>
      <c r="CS31" s="917">
        <f t="shared" si="2"/>
        <v>1300</v>
      </c>
    </row>
    <row r="32" spans="2:97" ht="18.75" thickBot="1">
      <c r="B32" s="31"/>
      <c r="D32" s="935">
        <f t="shared" si="3"/>
        <v>27</v>
      </c>
      <c r="E32" s="938">
        <f t="shared" si="4"/>
        <v>45700</v>
      </c>
      <c r="F32" s="941">
        <f t="shared" si="5"/>
        <v>0</v>
      </c>
      <c r="H32" s="955">
        <v>2</v>
      </c>
      <c r="I32" s="1662" t="s">
        <v>34</v>
      </c>
      <c r="J32" s="1663"/>
      <c r="K32" s="1663"/>
      <c r="L32" s="1663"/>
      <c r="M32" s="1663"/>
      <c r="N32" s="954" t="s">
        <v>35</v>
      </c>
      <c r="O32" s="945">
        <f>+WORKING!N32</f>
        <v>31200</v>
      </c>
      <c r="P32" s="177"/>
      <c r="Q32" s="179">
        <v>2</v>
      </c>
      <c r="R32" s="1669" t="s">
        <v>272</v>
      </c>
      <c r="S32" s="1670"/>
      <c r="T32" s="1671"/>
      <c r="U32" s="569" t="s">
        <v>36</v>
      </c>
      <c r="V32" s="392">
        <f>+WORKING!U32</f>
        <v>10000</v>
      </c>
      <c r="AH32" s="1"/>
      <c r="AI32" s="1"/>
      <c r="AJ32" s="1"/>
      <c r="AK32" s="1"/>
      <c r="AM32" s="382" t="str">
        <f>+C21</f>
        <v>Y</v>
      </c>
      <c r="AN32" s="381" t="s">
        <v>235</v>
      </c>
      <c r="AO32" s="382">
        <v>0</v>
      </c>
      <c r="AP32" s="382">
        <f>VLOOKUP(+AM32,AN32:AO33,2)</f>
        <v>1110</v>
      </c>
      <c r="AQ32" s="107"/>
      <c r="BM32" s="575">
        <f t="shared" si="18"/>
        <v>8</v>
      </c>
      <c r="BN32" s="88">
        <v>180</v>
      </c>
      <c r="CQ32" s="32">
        <f t="shared" si="9"/>
        <v>45700</v>
      </c>
      <c r="CR32">
        <f t="shared" si="1"/>
        <v>1371</v>
      </c>
      <c r="CS32" s="917">
        <f t="shared" si="2"/>
        <v>1400</v>
      </c>
    </row>
    <row r="33" spans="4:97" ht="18">
      <c r="D33" s="935">
        <f t="shared" si="3"/>
        <v>28</v>
      </c>
      <c r="E33" s="938">
        <f t="shared" si="4"/>
        <v>47100</v>
      </c>
      <c r="F33" s="941">
        <f t="shared" si="5"/>
        <v>0</v>
      </c>
      <c r="H33" s="955"/>
      <c r="I33" s="1626"/>
      <c r="J33" s="1627"/>
      <c r="K33" s="1627"/>
      <c r="L33" s="1627"/>
      <c r="M33" s="1627"/>
      <c r="N33" s="1628"/>
      <c r="O33" s="944">
        <f>+O31-O32</f>
        <v>386310</v>
      </c>
      <c r="P33" s="177"/>
      <c r="Q33" s="179">
        <v>3</v>
      </c>
      <c r="R33" s="1666" t="s">
        <v>74</v>
      </c>
      <c r="S33" s="1667"/>
      <c r="T33" s="1668"/>
      <c r="U33" s="175" t="s">
        <v>36</v>
      </c>
      <c r="V33" s="392">
        <f>+WORKING!U33</f>
        <v>2400</v>
      </c>
      <c r="AM33" s="382"/>
      <c r="AN33" s="382" t="s">
        <v>234</v>
      </c>
      <c r="AO33" s="382">
        <f>ROUND(+AS35/30,0)</f>
        <v>1110</v>
      </c>
      <c r="AP33" s="382"/>
      <c r="AQ33" s="107"/>
      <c r="BM33" s="575">
        <f t="shared" si="18"/>
        <v>9</v>
      </c>
      <c r="BN33" s="88">
        <v>180</v>
      </c>
      <c r="CQ33" s="32">
        <f t="shared" si="9"/>
        <v>47100</v>
      </c>
      <c r="CR33">
        <f t="shared" si="1"/>
        <v>1413</v>
      </c>
      <c r="CS33" s="917">
        <f t="shared" si="2"/>
        <v>1400</v>
      </c>
    </row>
    <row r="34" spans="4:97" ht="18.75" thickBot="1">
      <c r="D34" s="935">
        <f t="shared" si="3"/>
        <v>29</v>
      </c>
      <c r="E34" s="938">
        <f t="shared" si="4"/>
        <v>48500</v>
      </c>
      <c r="F34" s="941">
        <f t="shared" si="5"/>
        <v>0</v>
      </c>
      <c r="H34" s="955">
        <v>3</v>
      </c>
      <c r="I34" s="1617" t="s">
        <v>271</v>
      </c>
      <c r="J34" s="1618"/>
      <c r="K34" s="1618"/>
      <c r="L34" s="1618"/>
      <c r="M34" s="1618"/>
      <c r="N34" s="954" t="s">
        <v>35</v>
      </c>
      <c r="O34" s="945">
        <f>+WORKING!N34</f>
        <v>4660</v>
      </c>
      <c r="P34" s="177"/>
      <c r="Q34" s="179">
        <v>4</v>
      </c>
      <c r="R34" s="1623" t="s">
        <v>75</v>
      </c>
      <c r="S34" s="1624"/>
      <c r="T34" s="1625"/>
      <c r="U34" s="175" t="s">
        <v>36</v>
      </c>
      <c r="V34" s="392">
        <f>+WORKING!U34</f>
        <v>0</v>
      </c>
      <c r="BM34" s="575">
        <f t="shared" si="18"/>
        <v>10</v>
      </c>
      <c r="BN34" s="88">
        <v>180</v>
      </c>
      <c r="CQ34" s="32">
        <f t="shared" si="9"/>
        <v>48500</v>
      </c>
      <c r="CR34">
        <f t="shared" si="1"/>
        <v>1455</v>
      </c>
      <c r="CS34" s="917">
        <f t="shared" si="2"/>
        <v>1500</v>
      </c>
    </row>
    <row r="35" spans="4:97" ht="18">
      <c r="D35" s="935">
        <f t="shared" si="3"/>
        <v>30</v>
      </c>
      <c r="E35" s="938">
        <f t="shared" si="4"/>
        <v>50000</v>
      </c>
      <c r="F35" s="941">
        <f t="shared" si="5"/>
        <v>0</v>
      </c>
      <c r="H35" s="955"/>
      <c r="I35" s="175" t="s">
        <v>4</v>
      </c>
      <c r="J35" s="972">
        <f>+U23</f>
        <v>2500</v>
      </c>
      <c r="K35" s="175" t="s">
        <v>394</v>
      </c>
      <c r="L35" s="972">
        <f>+BN39</f>
        <v>2160</v>
      </c>
      <c r="M35" s="1629">
        <f>+J35+L35</f>
        <v>4660</v>
      </c>
      <c r="N35" s="1631"/>
      <c r="O35" s="944">
        <f>+O33-O34</f>
        <v>381650</v>
      </c>
      <c r="P35" s="177"/>
      <c r="Q35" s="179">
        <v>5</v>
      </c>
      <c r="R35" s="1666" t="s">
        <v>76</v>
      </c>
      <c r="S35" s="1667"/>
      <c r="T35" s="1668"/>
      <c r="U35" s="175" t="s">
        <v>36</v>
      </c>
      <c r="V35" s="392">
        <f>+WORKING!U35</f>
        <v>0</v>
      </c>
      <c r="AL35" s="579">
        <v>1.25</v>
      </c>
      <c r="AM35" s="57">
        <f>+I14</f>
        <v>25800</v>
      </c>
      <c r="AN35" s="57">
        <f>+J14</f>
        <v>0</v>
      </c>
      <c r="AO35" s="57">
        <f>+AV35</f>
        <v>323</v>
      </c>
      <c r="AP35" s="57">
        <f>+L14</f>
        <v>2600</v>
      </c>
      <c r="AQ35" s="57">
        <f>+M14</f>
        <v>500</v>
      </c>
      <c r="AR35" s="57">
        <f>+N14</f>
        <v>0</v>
      </c>
      <c r="AS35" s="57">
        <f>+O14</f>
        <v>33286</v>
      </c>
      <c r="AT35" s="57"/>
      <c r="AU35" s="57">
        <f>+AM35+AN35</f>
        <v>25800</v>
      </c>
      <c r="AV35" s="57">
        <f>ROUND(+AU35*+AL35/100,0)</f>
        <v>323</v>
      </c>
      <c r="BM35" s="575">
        <f t="shared" si="18"/>
        <v>11</v>
      </c>
      <c r="BN35" s="88">
        <v>180</v>
      </c>
      <c r="CQ35" s="32">
        <f t="shared" si="9"/>
        <v>50000</v>
      </c>
      <c r="CR35">
        <f t="shared" si="1"/>
        <v>1500</v>
      </c>
      <c r="CS35" s="917">
        <f t="shared" si="2"/>
        <v>1500</v>
      </c>
    </row>
    <row r="36" spans="4:97" ht="18.75" thickBot="1">
      <c r="D36" s="935">
        <f t="shared" si="3"/>
        <v>31</v>
      </c>
      <c r="E36" s="938">
        <f t="shared" si="4"/>
        <v>51500</v>
      </c>
      <c r="F36" s="941">
        <f t="shared" si="5"/>
        <v>0</v>
      </c>
      <c r="H36" s="955">
        <v>4</v>
      </c>
      <c r="I36" s="1662" t="s">
        <v>37</v>
      </c>
      <c r="J36" s="1663"/>
      <c r="K36" s="1663"/>
      <c r="L36" s="1663"/>
      <c r="M36" s="1663"/>
      <c r="N36" s="954" t="s">
        <v>35</v>
      </c>
      <c r="O36" s="946">
        <f>IF(I37&gt;200000,200000,IF(I37&lt;200000,I37,0))</f>
        <v>0</v>
      </c>
      <c r="P36" s="177"/>
      <c r="Q36" s="179">
        <v>8</v>
      </c>
      <c r="R36" s="371" t="s">
        <v>77</v>
      </c>
      <c r="S36" s="369"/>
      <c r="T36" s="370"/>
      <c r="U36" s="175" t="s">
        <v>36</v>
      </c>
      <c r="V36" s="392">
        <f>+WORKING!U36</f>
        <v>0</v>
      </c>
      <c r="X36" s="189"/>
      <c r="BM36" s="575">
        <f t="shared" si="18"/>
        <v>12</v>
      </c>
      <c r="BN36" s="88">
        <v>180</v>
      </c>
      <c r="CQ36" s="32">
        <f t="shared" si="9"/>
        <v>51500</v>
      </c>
      <c r="CR36">
        <f t="shared" si="1"/>
        <v>1545</v>
      </c>
      <c r="CS36" s="917">
        <f t="shared" si="2"/>
        <v>1500</v>
      </c>
    </row>
    <row r="37" spans="4:97" ht="18">
      <c r="D37" s="935">
        <f t="shared" si="3"/>
        <v>32</v>
      </c>
      <c r="E37" s="938">
        <f t="shared" si="4"/>
        <v>53000</v>
      </c>
      <c r="F37" s="941">
        <f t="shared" si="5"/>
        <v>0</v>
      </c>
      <c r="H37" s="955"/>
      <c r="I37" s="1695">
        <f>+WORKING!H37</f>
        <v>0</v>
      </c>
      <c r="J37" s="1696"/>
      <c r="K37" s="1676"/>
      <c r="L37" s="1677"/>
      <c r="M37" s="1677"/>
      <c r="N37" s="1678"/>
      <c r="O37" s="944">
        <f>+O35-O36</f>
        <v>381650</v>
      </c>
      <c r="P37" s="177"/>
      <c r="Q37" s="179">
        <v>7</v>
      </c>
      <c r="R37" s="1623" t="s">
        <v>78</v>
      </c>
      <c r="S37" s="1624"/>
      <c r="T37" s="1625"/>
      <c r="U37" s="175" t="s">
        <v>36</v>
      </c>
      <c r="V37" s="392">
        <f>+WORKING!U37</f>
        <v>0</v>
      </c>
      <c r="X37" s="189"/>
      <c r="BM37" s="575">
        <v>1</v>
      </c>
      <c r="BN37" s="88">
        <v>180</v>
      </c>
      <c r="CQ37" s="32">
        <f t="shared" si="9"/>
        <v>53000</v>
      </c>
      <c r="CR37">
        <f t="shared" si="1"/>
        <v>1590</v>
      </c>
      <c r="CS37" s="917">
        <f t="shared" si="2"/>
        <v>1600</v>
      </c>
    </row>
    <row r="38" spans="4:97" ht="18.75" thickBot="1">
      <c r="D38" s="935">
        <f t="shared" si="3"/>
        <v>33</v>
      </c>
      <c r="E38" s="938">
        <f t="shared" si="4"/>
        <v>54600</v>
      </c>
      <c r="F38" s="941">
        <f t="shared" si="5"/>
        <v>0</v>
      </c>
      <c r="H38" s="955">
        <v>5</v>
      </c>
      <c r="I38" s="1662" t="s">
        <v>38</v>
      </c>
      <c r="J38" s="1663"/>
      <c r="K38" s="1663"/>
      <c r="L38" s="1663"/>
      <c r="M38" s="1663"/>
      <c r="N38" s="954" t="s">
        <v>35</v>
      </c>
      <c r="O38" s="946">
        <f>IF(I39&gt;25000,25000,IF(I39&lt;25000,I39,0))</f>
        <v>0</v>
      </c>
      <c r="P38" s="177"/>
      <c r="Q38" s="179">
        <v>8</v>
      </c>
      <c r="R38" s="1623" t="s">
        <v>79</v>
      </c>
      <c r="S38" s="1624"/>
      <c r="T38" s="1625"/>
      <c r="U38" s="175" t="s">
        <v>36</v>
      </c>
      <c r="V38" s="392">
        <f>+WORKING!U38</f>
        <v>0</v>
      </c>
      <c r="X38" s="189"/>
      <c r="Y38" s="189"/>
      <c r="Z38" s="189"/>
      <c r="BM38" s="575">
        <v>2</v>
      </c>
      <c r="BN38" s="88">
        <v>180</v>
      </c>
      <c r="CQ38" s="32">
        <f t="shared" si="9"/>
        <v>54600</v>
      </c>
      <c r="CR38">
        <f t="shared" si="1"/>
        <v>1638</v>
      </c>
      <c r="CS38" s="917">
        <f t="shared" si="2"/>
        <v>1600</v>
      </c>
    </row>
    <row r="39" spans="4:97" ht="18.75" thickBot="1">
      <c r="D39" s="935">
        <f>+D38+1</f>
        <v>34</v>
      </c>
      <c r="E39" s="938">
        <f t="shared" si="4"/>
        <v>56200</v>
      </c>
      <c r="F39" s="941">
        <f t="shared" si="5"/>
        <v>0</v>
      </c>
      <c r="H39" s="955"/>
      <c r="I39" s="1695">
        <f>+WORKING!H39</f>
        <v>0</v>
      </c>
      <c r="J39" s="1696"/>
      <c r="K39" s="1676"/>
      <c r="L39" s="1677"/>
      <c r="M39" s="1677"/>
      <c r="N39" s="1678"/>
      <c r="O39" s="944">
        <f>+O37-O38</f>
        <v>381650</v>
      </c>
      <c r="P39" s="177"/>
      <c r="Q39" s="179">
        <v>9</v>
      </c>
      <c r="R39" s="1703" t="s">
        <v>80</v>
      </c>
      <c r="S39" s="1704"/>
      <c r="T39" s="1705"/>
      <c r="U39" s="175" t="s">
        <v>36</v>
      </c>
      <c r="V39" s="392">
        <f>+WORKING!U39</f>
        <v>0</v>
      </c>
      <c r="X39" s="189"/>
      <c r="Y39" s="189"/>
      <c r="Z39" s="189"/>
      <c r="BM39" s="576"/>
      <c r="BN39" s="577">
        <f>SUM(BN27:BN38)</f>
        <v>2160</v>
      </c>
      <c r="CQ39" s="32">
        <f t="shared" si="9"/>
        <v>56200</v>
      </c>
      <c r="CR39">
        <f t="shared" si="1"/>
        <v>1686</v>
      </c>
      <c r="CS39" s="917">
        <f t="shared" si="2"/>
        <v>1700</v>
      </c>
    </row>
    <row r="40" spans="4:97" ht="18.75" thickBot="1">
      <c r="D40" s="935">
        <f t="shared" si="3"/>
        <v>35</v>
      </c>
      <c r="E40" s="938">
        <f t="shared" si="4"/>
        <v>57900</v>
      </c>
      <c r="F40" s="941">
        <f t="shared" si="5"/>
        <v>0</v>
      </c>
      <c r="H40" s="955">
        <v>6</v>
      </c>
      <c r="I40" s="1600" t="s">
        <v>228</v>
      </c>
      <c r="J40" s="1601"/>
      <c r="K40" s="1601"/>
      <c r="L40" s="1601"/>
      <c r="M40" s="1602"/>
      <c r="N40" s="954" t="s">
        <v>35</v>
      </c>
      <c r="O40" s="947">
        <f>+WORKING!N40</f>
        <v>0</v>
      </c>
      <c r="P40" s="177"/>
      <c r="Q40" s="20"/>
      <c r="R40" s="1629" t="s">
        <v>3</v>
      </c>
      <c r="S40" s="1630"/>
      <c r="T40" s="1632"/>
      <c r="U40" s="175" t="s">
        <v>36</v>
      </c>
      <c r="V40" s="394">
        <f>SUM(V31:V39)</f>
        <v>12400</v>
      </c>
      <c r="X40" s="189"/>
      <c r="CQ40" s="32">
        <f t="shared" si="9"/>
        <v>57900</v>
      </c>
      <c r="CR40">
        <f t="shared" si="1"/>
        <v>1737</v>
      </c>
      <c r="CS40" s="917">
        <f t="shared" si="2"/>
        <v>1700</v>
      </c>
    </row>
    <row r="41" spans="4:97" ht="18">
      <c r="D41" s="935">
        <f t="shared" si="3"/>
        <v>36</v>
      </c>
      <c r="E41" s="938">
        <f t="shared" si="4"/>
        <v>59600</v>
      </c>
      <c r="F41" s="941">
        <f t="shared" si="5"/>
        <v>0</v>
      </c>
      <c r="H41" s="956"/>
      <c r="I41" s="1626"/>
      <c r="J41" s="1627"/>
      <c r="K41" s="1627"/>
      <c r="L41" s="1627"/>
      <c r="M41" s="1627"/>
      <c r="N41" s="1628"/>
      <c r="O41" s="944">
        <f>+O39-O40</f>
        <v>381650</v>
      </c>
      <c r="P41" s="177"/>
      <c r="Q41" s="20"/>
      <c r="R41" s="1629"/>
      <c r="S41" s="1630"/>
      <c r="T41" s="1630"/>
      <c r="U41" s="1631"/>
      <c r="V41" s="392"/>
      <c r="W41" s="391"/>
      <c r="X41" s="189"/>
      <c r="CQ41" s="32">
        <f t="shared" si="9"/>
        <v>59600</v>
      </c>
      <c r="CR41">
        <f t="shared" si="1"/>
        <v>1788</v>
      </c>
      <c r="CS41" s="917">
        <f t="shared" si="2"/>
        <v>1800</v>
      </c>
    </row>
    <row r="42" spans="4:97" ht="18.75" thickBot="1">
      <c r="D42" s="935">
        <f t="shared" si="3"/>
        <v>37</v>
      </c>
      <c r="E42" s="938">
        <f t="shared" si="4"/>
        <v>61400</v>
      </c>
      <c r="F42" s="941">
        <f t="shared" si="5"/>
        <v>0</v>
      </c>
      <c r="H42" s="967">
        <v>7</v>
      </c>
      <c r="I42" s="1603" t="s">
        <v>391</v>
      </c>
      <c r="J42" s="1604"/>
      <c r="K42" s="1604"/>
      <c r="L42" s="1604"/>
      <c r="M42" s="1605"/>
      <c r="N42" s="954" t="s">
        <v>35</v>
      </c>
      <c r="O42" s="966">
        <f>+WORKING!N42</f>
        <v>50000</v>
      </c>
      <c r="P42" s="177"/>
      <c r="Q42" s="172">
        <v>10</v>
      </c>
      <c r="R42" s="1648" t="s">
        <v>274</v>
      </c>
      <c r="S42" s="1649"/>
      <c r="T42" s="1650"/>
      <c r="U42" s="173"/>
      <c r="V42" s="395">
        <f>IF(V40&gt;150001,150000,IF(AND(V40&lt;150001),V40))</f>
        <v>12400</v>
      </c>
      <c r="W42" s="391"/>
      <c r="CQ42" s="32">
        <f t="shared" si="9"/>
        <v>61400</v>
      </c>
      <c r="CR42">
        <f t="shared" si="1"/>
        <v>1842</v>
      </c>
      <c r="CS42" s="917">
        <f t="shared" si="2"/>
        <v>1800</v>
      </c>
    </row>
    <row r="43" spans="4:97" ht="18.75" thickBot="1">
      <c r="D43" s="935">
        <f t="shared" si="3"/>
        <v>38</v>
      </c>
      <c r="E43" s="938">
        <f t="shared" si="4"/>
        <v>63200</v>
      </c>
      <c r="F43" s="941">
        <f t="shared" si="5"/>
        <v>0</v>
      </c>
      <c r="H43" s="956"/>
      <c r="I43" s="1626"/>
      <c r="J43" s="1627"/>
      <c r="K43" s="1627"/>
      <c r="L43" s="1627"/>
      <c r="M43" s="1627"/>
      <c r="N43" s="1628"/>
      <c r="O43" s="944">
        <f>O41-O42</f>
        <v>331650</v>
      </c>
      <c r="P43" s="177"/>
      <c r="Q43" s="172"/>
      <c r="R43" s="1648"/>
      <c r="S43" s="1649"/>
      <c r="T43" s="1650"/>
      <c r="U43" s="174"/>
      <c r="V43" s="393"/>
      <c r="X43" s="100">
        <f>+V47</f>
        <v>69250</v>
      </c>
      <c r="CQ43" s="32">
        <f t="shared" si="9"/>
        <v>63200</v>
      </c>
      <c r="CR43">
        <f t="shared" si="1"/>
        <v>1896</v>
      </c>
      <c r="CS43" s="917">
        <f t="shared" si="2"/>
        <v>1900</v>
      </c>
    </row>
    <row r="44" spans="4:97" ht="18">
      <c r="D44" s="935">
        <f t="shared" si="3"/>
        <v>39</v>
      </c>
      <c r="E44" s="938">
        <f t="shared" si="4"/>
        <v>65100</v>
      </c>
      <c r="F44" s="941">
        <f t="shared" si="5"/>
        <v>0</v>
      </c>
      <c r="H44" s="955">
        <v>8</v>
      </c>
      <c r="I44" s="1620" t="s">
        <v>392</v>
      </c>
      <c r="J44" s="1621"/>
      <c r="K44" s="1621"/>
      <c r="L44" s="1621"/>
      <c r="M44" s="1621"/>
      <c r="N44" s="1622"/>
      <c r="O44" s="948">
        <f>+O43</f>
        <v>331650</v>
      </c>
      <c r="P44" s="177"/>
      <c r="Q44" s="171"/>
      <c r="R44" s="1629"/>
      <c r="S44" s="1630"/>
      <c r="T44" s="1630"/>
      <c r="U44" s="1631"/>
      <c r="V44" s="383">
        <f>+V42+V43</f>
        <v>12400</v>
      </c>
      <c r="X44" s="101">
        <f>+U48</f>
        <v>69250</v>
      </c>
      <c r="CQ44" s="32">
        <f t="shared" si="9"/>
        <v>65100</v>
      </c>
      <c r="CR44">
        <f t="shared" si="1"/>
        <v>1953</v>
      </c>
      <c r="CS44" s="917">
        <f t="shared" si="2"/>
        <v>2000</v>
      </c>
    </row>
    <row r="45" spans="4:97" ht="18.75" thickBot="1">
      <c r="D45" s="936">
        <f t="shared" si="3"/>
        <v>40</v>
      </c>
      <c r="E45" s="939">
        <f t="shared" si="4"/>
        <v>67100</v>
      </c>
      <c r="F45" s="942">
        <f t="shared" si="5"/>
        <v>0</v>
      </c>
      <c r="H45" s="956"/>
      <c r="I45" s="1620" t="s">
        <v>41</v>
      </c>
      <c r="J45" s="1621"/>
      <c r="K45" s="1621"/>
      <c r="L45" s="1621"/>
      <c r="M45" s="1621"/>
      <c r="N45" s="954" t="s">
        <v>35</v>
      </c>
      <c r="O45" s="949">
        <f>+V44</f>
        <v>12400</v>
      </c>
      <c r="P45" s="177"/>
      <c r="Q45" s="172">
        <v>11</v>
      </c>
      <c r="R45" s="1648" t="str">
        <f>+I48</f>
        <v>TAXABLE INCOME ROUNDED OFF</v>
      </c>
      <c r="S45" s="1649"/>
      <c r="T45" s="1649"/>
      <c r="U45" s="1647"/>
      <c r="V45" s="396">
        <f>+O48</f>
        <v>319250</v>
      </c>
      <c r="X45" s="100">
        <f>+X43-X44</f>
        <v>0</v>
      </c>
      <c r="CQ45" s="32">
        <f t="shared" si="9"/>
        <v>67100</v>
      </c>
      <c r="CR45">
        <f t="shared" si="1"/>
        <v>2013</v>
      </c>
      <c r="CS45" s="918">
        <f t="shared" si="2"/>
        <v>2000</v>
      </c>
    </row>
    <row r="46" spans="4:98" ht="18.75" thickBot="1">
      <c r="D46" s="9"/>
      <c r="H46" s="956"/>
      <c r="I46" s="1626"/>
      <c r="J46" s="1627"/>
      <c r="K46" s="1627"/>
      <c r="L46" s="1627"/>
      <c r="M46" s="1627"/>
      <c r="N46" s="1628"/>
      <c r="O46" s="948"/>
      <c r="P46" s="177"/>
      <c r="Q46" s="172">
        <v>12</v>
      </c>
      <c r="R46" s="1648" t="str">
        <f>VLOOKUP(AP6,AX6:AY7,2)</f>
        <v>UPTO RS.250000/= (   NIL  )</v>
      </c>
      <c r="S46" s="1649"/>
      <c r="T46" s="1649"/>
      <c r="U46" s="1647"/>
      <c r="V46" s="397">
        <f>VLOOKUP(AP6,AQ6:AR7,2,FALSE)</f>
        <v>250000</v>
      </c>
      <c r="X46" s="101">
        <f>+U49</f>
        <v>0</v>
      </c>
      <c r="CQ46" s="34"/>
      <c r="CR46" s="1"/>
      <c r="CS46" s="929"/>
      <c r="CT46" s="1"/>
    </row>
    <row r="47" spans="4:98" ht="18.75" thickBot="1">
      <c r="D47" s="9"/>
      <c r="H47" s="956"/>
      <c r="I47" s="1620" t="s">
        <v>43</v>
      </c>
      <c r="J47" s="1621"/>
      <c r="K47" s="1621"/>
      <c r="L47" s="1621"/>
      <c r="M47" s="1621"/>
      <c r="N47" s="1622"/>
      <c r="O47" s="948">
        <f>+O44-O45</f>
        <v>319250</v>
      </c>
      <c r="P47" s="177"/>
      <c r="Q47" s="20"/>
      <c r="R47" s="1636"/>
      <c r="S47" s="1637"/>
      <c r="T47" s="1637"/>
      <c r="U47" s="1638"/>
      <c r="V47" s="398">
        <f>+V45-V46</f>
        <v>69250</v>
      </c>
      <c r="X47" s="100">
        <f>+X45-X46</f>
        <v>0</v>
      </c>
      <c r="Y47" s="1"/>
      <c r="CQ47" s="34"/>
      <c r="CR47" s="1"/>
      <c r="CS47" s="929"/>
      <c r="CT47" s="1"/>
    </row>
    <row r="48" spans="8:98" ht="18">
      <c r="H48" s="956"/>
      <c r="I48" s="1730" t="s">
        <v>44</v>
      </c>
      <c r="J48" s="1731"/>
      <c r="K48" s="1731"/>
      <c r="L48" s="1731"/>
      <c r="M48" s="1731"/>
      <c r="N48" s="1732"/>
      <c r="O48" s="949">
        <f>ROUND(+O47,-1)</f>
        <v>319250</v>
      </c>
      <c r="P48" s="177"/>
      <c r="Q48" s="175">
        <v>13</v>
      </c>
      <c r="R48" s="1633" t="str">
        <f>VLOOKUP(AP6,AX9:AY10,2)</f>
        <v>250001  TO  500000  5%</v>
      </c>
      <c r="S48" s="1634"/>
      <c r="T48" s="1635"/>
      <c r="U48" s="372">
        <f>VLOOKUP(AP6,AX12:AY13,2)</f>
        <v>69250</v>
      </c>
      <c r="V48" s="399">
        <f>ROUND(+U48*5%,0)</f>
        <v>3463</v>
      </c>
      <c r="AA48" s="11"/>
      <c r="AC48" s="11"/>
      <c r="AI48" s="11"/>
      <c r="CQ48" s="34"/>
      <c r="CR48" s="1"/>
      <c r="CS48" s="929"/>
      <c r="CT48" s="1"/>
    </row>
    <row r="49" spans="8:98" ht="18">
      <c r="H49" s="956"/>
      <c r="I49" s="1626"/>
      <c r="J49" s="1627"/>
      <c r="K49" s="1627"/>
      <c r="L49" s="1627"/>
      <c r="M49" s="1627"/>
      <c r="N49" s="1628"/>
      <c r="O49" s="948"/>
      <c r="P49" s="177"/>
      <c r="Q49" s="174"/>
      <c r="R49" s="1642" t="s">
        <v>227</v>
      </c>
      <c r="S49" s="1643"/>
      <c r="T49" s="1644"/>
      <c r="U49" s="373">
        <f>IF(V47&gt;600000,BI7,IF(V47&lt;600000,BI6,0))</f>
        <v>0</v>
      </c>
      <c r="V49" s="392">
        <f>ROUND(+U49*20%,0)</f>
        <v>0</v>
      </c>
      <c r="AA49" s="32"/>
      <c r="AI49" s="11"/>
      <c r="CQ49" s="34"/>
      <c r="CR49" s="1"/>
      <c r="CS49" s="929"/>
      <c r="CT49" s="1"/>
    </row>
    <row r="50" spans="8:98" ht="18.75" thickBot="1">
      <c r="H50" s="956"/>
      <c r="I50" s="1626"/>
      <c r="J50" s="1627"/>
      <c r="K50" s="1627"/>
      <c r="L50" s="1627"/>
      <c r="M50" s="1627"/>
      <c r="N50" s="1628"/>
      <c r="O50" s="948"/>
      <c r="P50" s="177"/>
      <c r="Q50" s="174"/>
      <c r="R50" s="1733" t="s">
        <v>284</v>
      </c>
      <c r="S50" s="1734"/>
      <c r="T50" s="1735"/>
      <c r="U50" s="374">
        <f>IF(V47&gt;4000000,4000000,IF(V47&lt;4000000,V47-U48-U49,0))</f>
        <v>0</v>
      </c>
      <c r="V50" s="397">
        <f>ROUND(+U50*30%,0)</f>
        <v>0</v>
      </c>
      <c r="X50" s="48"/>
      <c r="AA50" s="32"/>
      <c r="CQ50" s="34"/>
      <c r="CR50" s="1"/>
      <c r="CS50" s="929"/>
      <c r="CT50" s="1"/>
    </row>
    <row r="51" spans="8:98" ht="18.75" thickBot="1">
      <c r="H51" s="957"/>
      <c r="I51" s="1749" t="s">
        <v>46</v>
      </c>
      <c r="J51" s="1750"/>
      <c r="K51" s="1750"/>
      <c r="L51" s="1750"/>
      <c r="M51" s="1750"/>
      <c r="N51" s="1751"/>
      <c r="O51" s="948">
        <f>+V56</f>
        <v>-9398</v>
      </c>
      <c r="P51" s="176"/>
      <c r="Q51" s="173"/>
      <c r="R51" s="1651" t="s">
        <v>3</v>
      </c>
      <c r="S51" s="1652"/>
      <c r="T51" s="384">
        <f>+V47</f>
        <v>69250</v>
      </c>
      <c r="U51" s="193">
        <f>SUM(U48:U50)</f>
        <v>69250</v>
      </c>
      <c r="V51" s="400">
        <f>SUM(V48:V50)</f>
        <v>3463</v>
      </c>
      <c r="X51" s="48"/>
      <c r="CQ51" s="34"/>
      <c r="CR51" s="1"/>
      <c r="CS51" s="929"/>
      <c r="CT51" s="1"/>
    </row>
    <row r="52" spans="8:98" ht="18.75" thickBot="1">
      <c r="H52" s="957"/>
      <c r="I52" s="1626"/>
      <c r="J52" s="1627"/>
      <c r="K52" s="1627"/>
      <c r="L52" s="1627"/>
      <c r="M52" s="1627"/>
      <c r="N52" s="1628"/>
      <c r="O52" s="948"/>
      <c r="P52" s="176"/>
      <c r="Q52" s="172">
        <v>14</v>
      </c>
      <c r="R52" s="1653" t="s">
        <v>45</v>
      </c>
      <c r="S52" s="1654"/>
      <c r="T52" s="1655"/>
      <c r="U52" s="1456"/>
      <c r="V52" s="392">
        <f>+V51</f>
        <v>3463</v>
      </c>
      <c r="X52" s="1"/>
      <c r="CQ52" s="34"/>
      <c r="CR52" s="1"/>
      <c r="CS52" s="929"/>
      <c r="CT52" s="1"/>
    </row>
    <row r="53" spans="2:98" ht="18.75" thickBot="1">
      <c r="B53" s="1722"/>
      <c r="C53" s="1606" t="s">
        <v>56</v>
      </c>
      <c r="D53" s="1607"/>
      <c r="E53" s="1607"/>
      <c r="F53" s="1608"/>
      <c r="H53" s="957"/>
      <c r="I53" s="1656" t="s">
        <v>83</v>
      </c>
      <c r="J53" s="1657"/>
      <c r="K53" s="1657"/>
      <c r="L53" s="1657"/>
      <c r="M53" s="1657"/>
      <c r="N53" s="1658"/>
      <c r="O53" s="950">
        <f>+WORKING!N53</f>
        <v>0</v>
      </c>
      <c r="P53" s="176"/>
      <c r="Q53" s="172">
        <v>15</v>
      </c>
      <c r="R53" s="1648" t="s">
        <v>229</v>
      </c>
      <c r="S53" s="1649"/>
      <c r="T53" s="1649"/>
      <c r="U53" s="1650"/>
      <c r="V53" s="401">
        <f>AC53</f>
        <v>12500</v>
      </c>
      <c r="X53" s="376" t="s">
        <v>230</v>
      </c>
      <c r="Y53" s="11">
        <f>O48</f>
        <v>319250</v>
      </c>
      <c r="Z53">
        <v>0</v>
      </c>
      <c r="AA53">
        <v>12500</v>
      </c>
      <c r="AB53" s="377"/>
      <c r="AC53" s="160">
        <f>VLOOKUP(+Y53,Z53:AA54,2)</f>
        <v>12500</v>
      </c>
      <c r="CQ53" s="34"/>
      <c r="CR53" s="1"/>
      <c r="CS53" s="929"/>
      <c r="CT53" s="1"/>
    </row>
    <row r="54" spans="2:98" ht="18.75" thickBot="1">
      <c r="B54" s="1722"/>
      <c r="C54" s="55" t="s">
        <v>57</v>
      </c>
      <c r="D54" s="56" t="s">
        <v>58</v>
      </c>
      <c r="E54" s="1609" t="s">
        <v>59</v>
      </c>
      <c r="F54" s="1610"/>
      <c r="H54" s="957"/>
      <c r="I54" s="1626"/>
      <c r="J54" s="1627"/>
      <c r="K54" s="1627"/>
      <c r="L54" s="1627"/>
      <c r="M54" s="1627"/>
      <c r="N54" s="1628"/>
      <c r="O54" s="951">
        <f>+O51-O53</f>
        <v>-9398</v>
      </c>
      <c r="P54" s="176"/>
      <c r="Q54" s="175"/>
      <c r="R54" s="1618" t="s">
        <v>45</v>
      </c>
      <c r="S54" s="1618"/>
      <c r="T54" s="1618"/>
      <c r="U54" s="375"/>
      <c r="V54" s="394">
        <f>V52-V53</f>
        <v>-9037</v>
      </c>
      <c r="Z54">
        <v>500000</v>
      </c>
      <c r="AA54">
        <v>0</v>
      </c>
      <c r="CQ54" s="34"/>
      <c r="CR54" s="1"/>
      <c r="CS54" s="929"/>
      <c r="CT54" s="1"/>
    </row>
    <row r="55" spans="2:98" ht="18.75" thickBot="1">
      <c r="B55" s="1722"/>
      <c r="C55" s="180"/>
      <c r="D55" s="572">
        <v>0</v>
      </c>
      <c r="E55" s="1611"/>
      <c r="F55" s="1612"/>
      <c r="H55" s="957"/>
      <c r="I55" s="1617" t="s">
        <v>47</v>
      </c>
      <c r="J55" s="1618"/>
      <c r="K55" s="1618"/>
      <c r="L55" s="1618"/>
      <c r="M55" s="1618"/>
      <c r="N55" s="1619"/>
      <c r="O55" s="952">
        <f>+V23</f>
        <v>-9398</v>
      </c>
      <c r="P55" s="176"/>
      <c r="Q55" s="172">
        <v>16</v>
      </c>
      <c r="R55" s="1645" t="s">
        <v>389</v>
      </c>
      <c r="S55" s="1646"/>
      <c r="T55" s="1646"/>
      <c r="U55" s="1647"/>
      <c r="V55" s="397">
        <f>ROUND(+V54*4%,0)</f>
        <v>-361</v>
      </c>
      <c r="AB55" s="377"/>
      <c r="CQ55" s="1"/>
      <c r="CR55" s="1"/>
      <c r="CS55" s="929"/>
      <c r="CT55" s="1"/>
    </row>
    <row r="56" spans="2:98" ht="18.75" thickBot="1">
      <c r="B56" s="1722"/>
      <c r="C56" s="87"/>
      <c r="D56" s="57"/>
      <c r="E56" s="1690"/>
      <c r="F56" s="1616"/>
      <c r="H56" s="958"/>
      <c r="I56" s="1700" t="s">
        <v>48</v>
      </c>
      <c r="J56" s="1701"/>
      <c r="K56" s="1701"/>
      <c r="L56" s="1701"/>
      <c r="M56" s="1701"/>
      <c r="N56" s="1702"/>
      <c r="O56" s="953">
        <f>+O54-O55</f>
        <v>0</v>
      </c>
      <c r="P56" s="176"/>
      <c r="Q56" s="172">
        <v>17</v>
      </c>
      <c r="R56" s="1648" t="s">
        <v>49</v>
      </c>
      <c r="S56" s="1649"/>
      <c r="T56" s="1649"/>
      <c r="U56" s="1647"/>
      <c r="V56" s="392">
        <f>V54+V55</f>
        <v>-9398</v>
      </c>
      <c r="CQ56" s="1"/>
      <c r="CR56" s="1"/>
      <c r="CS56" s="929"/>
      <c r="CT56" s="1"/>
    </row>
    <row r="57" spans="2:98" ht="26.25" customHeight="1" thickBot="1">
      <c r="B57" s="1722"/>
      <c r="C57" s="87"/>
      <c r="D57" s="57"/>
      <c r="E57" s="1615"/>
      <c r="F57" s="1616"/>
      <c r="H57" s="1736" t="s">
        <v>434</v>
      </c>
      <c r="I57" s="1737"/>
      <c r="J57" s="1737"/>
      <c r="K57" s="1737"/>
      <c r="L57" s="1737"/>
      <c r="M57" s="1737"/>
      <c r="N57" s="1737"/>
      <c r="O57" s="1738"/>
      <c r="P57" s="1738"/>
      <c r="Q57" s="1738"/>
      <c r="R57" s="1738"/>
      <c r="S57" s="1738"/>
      <c r="T57" s="1738"/>
      <c r="U57" s="1738"/>
      <c r="V57" s="1739"/>
      <c r="CQ57" s="1"/>
      <c r="CR57" s="1"/>
      <c r="CS57" s="929"/>
      <c r="CT57" s="1"/>
    </row>
    <row r="58" spans="2:98" ht="18">
      <c r="B58" s="1722"/>
      <c r="C58" s="87"/>
      <c r="D58" s="57"/>
      <c r="E58" s="1615"/>
      <c r="F58" s="1616"/>
      <c r="H58" s="1727" t="s">
        <v>54</v>
      </c>
      <c r="I58" s="1728"/>
      <c r="J58" s="1728"/>
      <c r="K58" s="1728"/>
      <c r="L58" s="1728"/>
      <c r="M58" s="1728"/>
      <c r="N58" s="1728"/>
      <c r="O58" s="1728"/>
      <c r="P58" s="1728"/>
      <c r="Q58" s="1728"/>
      <c r="R58" s="1728"/>
      <c r="S58" s="1728"/>
      <c r="T58" s="1728"/>
      <c r="U58" s="1728"/>
      <c r="V58" s="1729"/>
      <c r="AL58" s="2"/>
      <c r="AM58" s="46"/>
      <c r="AN58" s="1"/>
      <c r="AO58" s="1"/>
      <c r="AP58" s="1"/>
      <c r="AQ58" s="1"/>
      <c r="CQ58" s="1"/>
      <c r="CR58" s="1"/>
      <c r="CS58" s="929"/>
      <c r="CT58" s="1"/>
    </row>
    <row r="59" spans="2:98" ht="18.75" thickBot="1">
      <c r="B59" s="1722"/>
      <c r="C59" s="181"/>
      <c r="D59" s="59"/>
      <c r="E59" s="1613"/>
      <c r="F59" s="1614"/>
      <c r="H59" s="1727" t="s">
        <v>55</v>
      </c>
      <c r="I59" s="1728"/>
      <c r="J59" s="1728"/>
      <c r="K59" s="1728"/>
      <c r="L59" s="1728"/>
      <c r="M59" s="1728"/>
      <c r="N59" s="1728"/>
      <c r="O59" s="1728"/>
      <c r="P59" s="1728"/>
      <c r="Q59" s="1728"/>
      <c r="R59" s="1728"/>
      <c r="S59" s="1728"/>
      <c r="T59" s="1728"/>
      <c r="U59" s="1728"/>
      <c r="V59" s="1729"/>
      <c r="AL59" s="2"/>
      <c r="AM59" s="46"/>
      <c r="AN59" s="1"/>
      <c r="AO59" s="1"/>
      <c r="AP59" s="1"/>
      <c r="AQ59" s="1"/>
      <c r="CQ59" s="1"/>
      <c r="CR59" s="1"/>
      <c r="CS59" s="929"/>
      <c r="CT59" s="1"/>
    </row>
    <row r="60" spans="2:98" ht="18.75" thickBot="1">
      <c r="B60" s="1722"/>
      <c r="C60" s="61" t="s">
        <v>3</v>
      </c>
      <c r="D60" s="56">
        <f>SUM(D55:D59)</f>
        <v>0</v>
      </c>
      <c r="E60" s="1609"/>
      <c r="F60" s="1610"/>
      <c r="H60" s="50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2" t="s">
        <v>50</v>
      </c>
      <c r="U60" s="51"/>
      <c r="V60" s="53"/>
      <c r="AL60" s="2"/>
      <c r="AM60" s="46"/>
      <c r="AN60" s="1"/>
      <c r="AO60" s="1"/>
      <c r="AP60" s="1"/>
      <c r="AQ60" s="1"/>
      <c r="CQ60" s="1"/>
      <c r="CR60" s="1"/>
      <c r="CS60" s="929"/>
      <c r="CT60" s="1"/>
    </row>
    <row r="61" spans="10:98" ht="18">
      <c r="J61" s="6"/>
      <c r="K61" s="6"/>
      <c r="L61" s="6"/>
      <c r="M61" s="6"/>
      <c r="N61" s="6"/>
      <c r="O61" s="6"/>
      <c r="AL61" s="1"/>
      <c r="AM61" s="34"/>
      <c r="AN61" s="34"/>
      <c r="AO61" s="1"/>
      <c r="AP61" s="1"/>
      <c r="AQ61" s="1"/>
      <c r="CQ61" s="1"/>
      <c r="CR61" s="1"/>
      <c r="CS61" s="929"/>
      <c r="CT61" s="1"/>
    </row>
    <row r="62" spans="37:98" ht="18.75" thickBot="1">
      <c r="AK62" s="3"/>
      <c r="CQ62" s="1"/>
      <c r="CR62" s="1"/>
      <c r="CS62" s="929"/>
      <c r="CT62" s="1"/>
    </row>
    <row r="63" spans="2:98" ht="18.75" thickBot="1">
      <c r="B63" s="1723"/>
      <c r="C63" s="1606" t="s">
        <v>60</v>
      </c>
      <c r="D63" s="1694"/>
      <c r="E63" s="1607"/>
      <c r="F63" s="1608"/>
      <c r="H63" s="230">
        <f>+V56</f>
        <v>-9398</v>
      </c>
      <c r="I63" s="188"/>
      <c r="J63" s="189" t="e">
        <f>[3]!NUM2TEXT(+H63)</f>
        <v>#NAME?</v>
      </c>
      <c r="O63" s="47"/>
      <c r="P63" s="1"/>
      <c r="Q63" s="1"/>
      <c r="R63" s="1"/>
      <c r="S63" s="1"/>
      <c r="T63" s="1"/>
      <c r="U63" s="1"/>
      <c r="V63" s="1"/>
      <c r="AK63" s="3"/>
      <c r="CQ63" s="1"/>
      <c r="CR63" s="1"/>
      <c r="CS63" s="929"/>
      <c r="CT63" s="1"/>
    </row>
    <row r="64" spans="2:98" ht="18.75" thickBot="1">
      <c r="B64" s="1723"/>
      <c r="C64" s="62" t="s">
        <v>61</v>
      </c>
      <c r="D64" s="63" t="s">
        <v>62</v>
      </c>
      <c r="E64" s="64" t="s">
        <v>48</v>
      </c>
      <c r="F64" s="65" t="s">
        <v>63</v>
      </c>
      <c r="O64" s="47"/>
      <c r="P64" s="1"/>
      <c r="Q64" s="1"/>
      <c r="R64" s="1"/>
      <c r="S64" s="1"/>
      <c r="T64" s="1"/>
      <c r="U64" s="1"/>
      <c r="V64" s="1"/>
      <c r="AK64" s="3"/>
      <c r="CQ64" s="1"/>
      <c r="CR64" s="1"/>
      <c r="CS64" s="929"/>
      <c r="CT64" s="1"/>
    </row>
    <row r="65" spans="2:98" ht="18">
      <c r="B65" s="1723"/>
      <c r="C65" s="902">
        <v>400000</v>
      </c>
      <c r="D65" s="903">
        <f>+C65-V56</f>
        <v>409398</v>
      </c>
      <c r="E65" s="66">
        <f>+C65-D65</f>
        <v>-9398</v>
      </c>
      <c r="F65" s="67"/>
      <c r="O65" s="1"/>
      <c r="P65" s="1"/>
      <c r="Q65" s="1"/>
      <c r="R65" s="1"/>
      <c r="S65" s="1"/>
      <c r="T65" s="1"/>
      <c r="U65" s="1"/>
      <c r="V65" s="1"/>
      <c r="AK65" s="3"/>
      <c r="CQ65" s="1"/>
      <c r="CR65" s="1"/>
      <c r="CS65" s="929"/>
      <c r="CT65" s="1"/>
    </row>
    <row r="66" spans="2:98" ht="18">
      <c r="B66" s="1723"/>
      <c r="C66" s="68"/>
      <c r="D66" s="58"/>
      <c r="E66" s="69"/>
      <c r="F66" s="70"/>
      <c r="O66" s="22"/>
      <c r="P66" s="1"/>
      <c r="Q66" s="1"/>
      <c r="R66" s="1"/>
      <c r="S66" s="1"/>
      <c r="T66" s="1"/>
      <c r="U66" s="1"/>
      <c r="V66" s="1"/>
      <c r="AK66" s="3"/>
      <c r="CQ66" s="1"/>
      <c r="CR66" s="1"/>
      <c r="CS66" s="929"/>
      <c r="CT66" s="1"/>
    </row>
    <row r="67" spans="2:98" ht="18">
      <c r="B67" s="1723"/>
      <c r="C67" s="68"/>
      <c r="D67" s="58"/>
      <c r="E67" s="71"/>
      <c r="F67" s="70"/>
      <c r="H67" s="35"/>
      <c r="I67" s="35"/>
      <c r="J67" s="35"/>
      <c r="K67" s="3"/>
      <c r="L67" s="3"/>
      <c r="M67" s="3"/>
      <c r="N67" s="3"/>
      <c r="O67" s="22"/>
      <c r="P67" s="3"/>
      <c r="Q67" s="3"/>
      <c r="R67" s="3"/>
      <c r="S67" s="1"/>
      <c r="T67" s="1"/>
      <c r="U67" s="1"/>
      <c r="V67" s="1"/>
      <c r="AK67" s="3"/>
      <c r="CQ67" s="1"/>
      <c r="CR67" s="1"/>
      <c r="CS67" s="929"/>
      <c r="CT67" s="1"/>
    </row>
    <row r="68" spans="2:98" ht="18">
      <c r="B68" s="1723"/>
      <c r="C68" s="68"/>
      <c r="D68" s="58"/>
      <c r="E68" s="71"/>
      <c r="F68" s="70"/>
      <c r="H68" s="3"/>
      <c r="I68" s="3"/>
      <c r="J68" s="3"/>
      <c r="K68" s="3"/>
      <c r="L68" s="3"/>
      <c r="M68" s="1"/>
      <c r="N68" s="1"/>
      <c r="O68" s="22"/>
      <c r="P68" s="36"/>
      <c r="Q68" s="3"/>
      <c r="R68" s="3"/>
      <c r="S68" s="1"/>
      <c r="T68" s="1"/>
      <c r="U68" s="1"/>
      <c r="V68" s="1"/>
      <c r="AK68" s="3"/>
      <c r="CQ68" s="1"/>
      <c r="CR68" s="1"/>
      <c r="CS68" s="929"/>
      <c r="CT68" s="1"/>
    </row>
    <row r="69" spans="2:98" ht="18.75" thickBot="1">
      <c r="B69" s="1723"/>
      <c r="C69" s="72"/>
      <c r="D69" s="60"/>
      <c r="E69" s="73"/>
      <c r="F69" s="74"/>
      <c r="H69" s="3"/>
      <c r="I69" s="3"/>
      <c r="J69" s="3"/>
      <c r="K69" s="3"/>
      <c r="L69" s="3"/>
      <c r="M69" s="1"/>
      <c r="N69" s="1"/>
      <c r="O69" s="3"/>
      <c r="P69" s="36"/>
      <c r="Q69" s="3"/>
      <c r="R69" s="3"/>
      <c r="S69" s="37"/>
      <c r="T69" s="37"/>
      <c r="U69" s="37"/>
      <c r="V69" s="1"/>
      <c r="AK69" s="3"/>
      <c r="CQ69" s="1"/>
      <c r="CR69" s="1"/>
      <c r="CS69" s="929"/>
      <c r="CT69" s="1"/>
    </row>
    <row r="70" spans="2:98" ht="18.75" thickBot="1">
      <c r="B70" s="1723"/>
      <c r="C70" s="62">
        <f>SUM(C65:C69)</f>
        <v>400000</v>
      </c>
      <c r="D70" s="62">
        <f>SUM(D65:D69)</f>
        <v>409398</v>
      </c>
      <c r="E70" s="62">
        <f>SUM(E65:E69)</f>
        <v>-9398</v>
      </c>
      <c r="F70" s="75"/>
      <c r="H70" s="5"/>
      <c r="I70" s="5"/>
      <c r="J70" s="5"/>
      <c r="K70" s="5"/>
      <c r="L70" s="5"/>
      <c r="M70" s="5"/>
      <c r="N70" s="1"/>
      <c r="O70" s="3"/>
      <c r="P70" s="36"/>
      <c r="Q70" s="3"/>
      <c r="R70" s="3"/>
      <c r="S70" s="1"/>
      <c r="T70" s="1"/>
      <c r="U70" s="1"/>
      <c r="V70" s="1"/>
      <c r="AK70" s="3"/>
      <c r="CQ70" s="1"/>
      <c r="CR70" s="1"/>
      <c r="CS70" s="929"/>
      <c r="CT70" s="1"/>
    </row>
    <row r="71" spans="8:98" ht="18">
      <c r="H71" s="3"/>
      <c r="I71" s="3"/>
      <c r="J71" s="3"/>
      <c r="K71" s="3"/>
      <c r="L71" s="3"/>
      <c r="M71" s="3"/>
      <c r="N71" s="1"/>
      <c r="O71" s="1"/>
      <c r="P71" s="36"/>
      <c r="Q71" s="3"/>
      <c r="R71" s="3"/>
      <c r="S71" s="37"/>
      <c r="T71" s="22"/>
      <c r="U71" s="37"/>
      <c r="V71" s="1"/>
      <c r="AK71" s="1"/>
      <c r="CQ71" s="1"/>
      <c r="CR71" s="1"/>
      <c r="CS71" s="929"/>
      <c r="CT71" s="1"/>
    </row>
    <row r="72" spans="8:98" ht="18">
      <c r="H72" s="3"/>
      <c r="I72" s="3"/>
      <c r="J72" s="3"/>
      <c r="K72" s="3"/>
      <c r="L72" s="3"/>
      <c r="M72" s="3"/>
      <c r="N72" s="3"/>
      <c r="O72" s="3"/>
      <c r="P72" s="36"/>
      <c r="Q72" s="3"/>
      <c r="R72" s="3"/>
      <c r="S72" s="1"/>
      <c r="T72" s="1"/>
      <c r="U72" s="1"/>
      <c r="V72" s="1"/>
      <c r="CQ72" s="1"/>
      <c r="CR72" s="1"/>
      <c r="CS72" s="929"/>
      <c r="CT72" s="1"/>
    </row>
    <row r="73" spans="8:98" ht="18"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7"/>
      <c r="T73" s="37"/>
      <c r="U73" s="37"/>
      <c r="V73" s="1"/>
      <c r="CQ73" s="1"/>
      <c r="CR73" s="1"/>
      <c r="CS73" s="929"/>
      <c r="CT73" s="1"/>
    </row>
    <row r="74" spans="8:98" ht="18">
      <c r="H74" s="12"/>
      <c r="I74" s="12"/>
      <c r="J74" s="12"/>
      <c r="K74" s="12"/>
      <c r="L74" s="12"/>
      <c r="M74" s="12"/>
      <c r="N74" s="12"/>
      <c r="O74" s="12"/>
      <c r="P74" s="3"/>
      <c r="Q74" s="3"/>
      <c r="R74" s="3"/>
      <c r="S74" s="1"/>
      <c r="T74" s="1"/>
      <c r="U74" s="1"/>
      <c r="V74" s="1"/>
      <c r="CQ74" s="1"/>
      <c r="CR74" s="1"/>
      <c r="CS74" s="929"/>
      <c r="CT74" s="1"/>
    </row>
    <row r="75" spans="8:98" ht="18">
      <c r="H75" s="3"/>
      <c r="I75" s="3"/>
      <c r="J75" s="3"/>
      <c r="K75" s="3"/>
      <c r="L75" s="3"/>
      <c r="M75" s="3"/>
      <c r="N75" s="3"/>
      <c r="O75" s="4"/>
      <c r="P75" s="3"/>
      <c r="Q75" s="1"/>
      <c r="R75" s="1"/>
      <c r="S75" s="37"/>
      <c r="T75" s="37"/>
      <c r="U75" s="37"/>
      <c r="V75" s="1"/>
      <c r="CQ75" s="1"/>
      <c r="CR75" s="1"/>
      <c r="CS75" s="929"/>
      <c r="CT75" s="1"/>
    </row>
    <row r="76" spans="8:98" ht="18">
      <c r="H76" s="3"/>
      <c r="I76" s="3"/>
      <c r="J76" s="3"/>
      <c r="K76" s="3"/>
      <c r="L76" s="3"/>
      <c r="M76" s="3"/>
      <c r="N76" s="3"/>
      <c r="O76" s="3"/>
      <c r="P76" s="1"/>
      <c r="Q76" s="3"/>
      <c r="R76" s="1"/>
      <c r="S76" s="37"/>
      <c r="T76" s="1"/>
      <c r="U76" s="37"/>
      <c r="V76" s="1"/>
      <c r="CQ76" s="1"/>
      <c r="CR76" s="1"/>
      <c r="CS76" s="929"/>
      <c r="CT76" s="1"/>
    </row>
    <row r="77" spans="15:98" ht="18">
      <c r="O77" s="1"/>
      <c r="P77" s="1"/>
      <c r="Q77" s="1"/>
      <c r="R77" s="1"/>
      <c r="S77" s="1"/>
      <c r="T77" s="1"/>
      <c r="U77" s="1"/>
      <c r="V77" s="1"/>
      <c r="CQ77" s="1"/>
      <c r="CR77" s="1"/>
      <c r="CS77" s="929"/>
      <c r="CT77" s="1"/>
    </row>
    <row r="78" spans="15:98" ht="18">
      <c r="O78" s="1"/>
      <c r="P78" s="1"/>
      <c r="Q78" s="1"/>
      <c r="R78" s="1"/>
      <c r="S78" s="1"/>
      <c r="T78" s="37"/>
      <c r="U78" s="37"/>
      <c r="V78" s="1"/>
      <c r="CQ78" s="1"/>
      <c r="CR78" s="1"/>
      <c r="CS78" s="929"/>
      <c r="CT78" s="1"/>
    </row>
    <row r="79" spans="15:98" ht="18">
      <c r="O79" s="1"/>
      <c r="P79" s="1"/>
      <c r="Q79" s="1"/>
      <c r="R79" s="1"/>
      <c r="S79" s="1"/>
      <c r="T79" s="1"/>
      <c r="U79" s="37"/>
      <c r="V79" s="1"/>
      <c r="CQ79" s="1"/>
      <c r="CR79" s="1"/>
      <c r="CS79" s="929"/>
      <c r="CT79" s="1"/>
    </row>
    <row r="80" spans="15:98" ht="18">
      <c r="O80" s="1"/>
      <c r="P80" s="1"/>
      <c r="Q80" s="1"/>
      <c r="R80" s="1"/>
      <c r="S80" s="1"/>
      <c r="T80" s="1"/>
      <c r="U80" s="1"/>
      <c r="V80" s="1"/>
      <c r="CQ80" s="1"/>
      <c r="CR80" s="1"/>
      <c r="CS80" s="929"/>
      <c r="CT80" s="1"/>
    </row>
    <row r="81" spans="95:98" ht="18">
      <c r="CQ81" s="1"/>
      <c r="CR81" s="1"/>
      <c r="CS81" s="929"/>
      <c r="CT81" s="1"/>
    </row>
    <row r="82" spans="95:98" ht="18">
      <c r="CQ82" s="1"/>
      <c r="CR82" s="1"/>
      <c r="CS82" s="929"/>
      <c r="CT82" s="1"/>
    </row>
    <row r="83" spans="95:98" ht="18.75" thickBot="1">
      <c r="CQ83" s="1"/>
      <c r="CR83" s="1"/>
      <c r="CS83" s="929"/>
      <c r="CT83" s="1"/>
    </row>
    <row r="84" spans="6:98" ht="18">
      <c r="F84" s="479"/>
      <c r="G84" s="480"/>
      <c r="H84" s="480"/>
      <c r="I84" s="480"/>
      <c r="J84" s="480"/>
      <c r="K84" s="480"/>
      <c r="L84" s="480"/>
      <c r="M84" s="480"/>
      <c r="N84" s="480"/>
      <c r="O84" s="480"/>
      <c r="P84" s="480"/>
      <c r="Q84" s="480"/>
      <c r="R84" s="480"/>
      <c r="S84" s="481"/>
      <c r="CQ84" s="1"/>
      <c r="CR84" s="1"/>
      <c r="CS84" s="929"/>
      <c r="CT84" s="1"/>
    </row>
    <row r="85" spans="6:98" ht="18">
      <c r="F85" s="482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483"/>
      <c r="CQ85" s="1"/>
      <c r="CR85" s="1"/>
      <c r="CS85" s="929"/>
      <c r="CT85" s="1"/>
    </row>
    <row r="86" spans="6:98" ht="18">
      <c r="F86" s="482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483"/>
      <c r="CQ86" s="1"/>
      <c r="CR86" s="1"/>
      <c r="CS86" s="929"/>
      <c r="CT86" s="1"/>
    </row>
    <row r="87" spans="6:98" ht="20.25">
      <c r="F87" s="1691" t="s">
        <v>302</v>
      </c>
      <c r="G87" s="1692"/>
      <c r="H87" s="1692"/>
      <c r="I87" s="1692"/>
      <c r="J87" s="1692"/>
      <c r="K87" s="1692"/>
      <c r="L87" s="1692"/>
      <c r="M87" s="1692"/>
      <c r="N87" s="1692"/>
      <c r="O87" s="1692"/>
      <c r="P87" s="1692"/>
      <c r="Q87" s="1692"/>
      <c r="R87" s="1692"/>
      <c r="S87" s="1693"/>
      <c r="CQ87" s="1"/>
      <c r="CR87" s="1"/>
      <c r="CS87" s="929"/>
      <c r="CT87" s="1"/>
    </row>
    <row r="88" spans="6:98" ht="18">
      <c r="F88" s="482"/>
      <c r="G88" s="195"/>
      <c r="H88" s="197"/>
      <c r="I88" s="197"/>
      <c r="J88" s="197"/>
      <c r="K88" s="7"/>
      <c r="L88" s="7"/>
      <c r="M88" s="7"/>
      <c r="N88" s="7"/>
      <c r="O88" s="198"/>
      <c r="P88" s="7"/>
      <c r="Q88" s="7"/>
      <c r="R88" s="195"/>
      <c r="S88" s="185"/>
      <c r="T88" s="1"/>
      <c r="CQ88" s="1"/>
      <c r="CR88" s="1"/>
      <c r="CS88" s="929"/>
      <c r="CT88" s="1"/>
    </row>
    <row r="89" spans="6:98" ht="18">
      <c r="F89" s="482"/>
      <c r="G89" s="195"/>
      <c r="H89" s="199" t="s">
        <v>84</v>
      </c>
      <c r="I89" s="195"/>
      <c r="J89" s="195" t="s">
        <v>85</v>
      </c>
      <c r="K89" s="195"/>
      <c r="L89" s="195"/>
      <c r="M89" s="200" t="s">
        <v>36</v>
      </c>
      <c r="N89" s="195"/>
      <c r="O89" s="586">
        <f>+I23</f>
        <v>308800</v>
      </c>
      <c r="P89" s="195"/>
      <c r="Q89" s="195"/>
      <c r="R89" s="195"/>
      <c r="S89" s="483"/>
      <c r="CQ89" s="1"/>
      <c r="CR89" s="1"/>
      <c r="CS89" s="929"/>
      <c r="CT89" s="1"/>
    </row>
    <row r="90" spans="6:98" ht="18">
      <c r="F90" s="482"/>
      <c r="G90" s="195"/>
      <c r="H90" s="195" t="s">
        <v>86</v>
      </c>
      <c r="I90" s="195"/>
      <c r="J90" s="195" t="s">
        <v>85</v>
      </c>
      <c r="K90" s="195"/>
      <c r="L90" s="195"/>
      <c r="M90" s="200" t="s">
        <v>36</v>
      </c>
      <c r="N90" s="195"/>
      <c r="O90" s="586">
        <f>+J23</f>
        <v>0</v>
      </c>
      <c r="P90" s="195"/>
      <c r="Q90" s="195"/>
      <c r="R90" s="195"/>
      <c r="S90" s="483"/>
      <c r="CQ90" s="1"/>
      <c r="CR90" s="1"/>
      <c r="CS90" s="929"/>
      <c r="CT90" s="1"/>
    </row>
    <row r="91" spans="6:98" ht="18">
      <c r="F91" s="482"/>
      <c r="G91" s="195"/>
      <c r="H91" s="199" t="s">
        <v>65</v>
      </c>
      <c r="I91" s="195"/>
      <c r="J91" s="195" t="s">
        <v>85</v>
      </c>
      <c r="K91" s="195"/>
      <c r="L91" s="195"/>
      <c r="M91" s="200" t="s">
        <v>36</v>
      </c>
      <c r="N91" s="195"/>
      <c r="O91" s="586">
        <f>+K23</f>
        <v>59720</v>
      </c>
      <c r="P91" s="195"/>
      <c r="Q91" s="195"/>
      <c r="R91" s="195"/>
      <c r="S91" s="483"/>
      <c r="CQ91" s="1"/>
      <c r="CR91" s="1"/>
      <c r="CS91" s="929"/>
      <c r="CT91" s="1"/>
    </row>
    <row r="92" spans="6:98" ht="18">
      <c r="F92" s="482"/>
      <c r="G92" s="195"/>
      <c r="H92" s="199" t="s">
        <v>87</v>
      </c>
      <c r="I92" s="195"/>
      <c r="J92" s="195" t="s">
        <v>85</v>
      </c>
      <c r="K92" s="195"/>
      <c r="L92" s="195"/>
      <c r="M92" s="200" t="s">
        <v>36</v>
      </c>
      <c r="N92" s="195"/>
      <c r="O92" s="586">
        <f>+L23</f>
        <v>31200</v>
      </c>
      <c r="P92" s="195"/>
      <c r="Q92" s="195"/>
      <c r="R92" s="195"/>
      <c r="S92" s="483"/>
      <c r="CQ92" s="1"/>
      <c r="CR92" s="1"/>
      <c r="CS92" s="929"/>
      <c r="CT92" s="1"/>
    </row>
    <row r="93" spans="6:98" ht="18">
      <c r="F93" s="482"/>
      <c r="G93" s="195"/>
      <c r="H93" s="199" t="s">
        <v>88</v>
      </c>
      <c r="I93" s="195"/>
      <c r="J93" s="195" t="s">
        <v>85</v>
      </c>
      <c r="K93" s="195"/>
      <c r="L93" s="195"/>
      <c r="M93" s="200" t="s">
        <v>36</v>
      </c>
      <c r="N93" s="195"/>
      <c r="O93" s="586">
        <f>+M23</f>
        <v>6000</v>
      </c>
      <c r="P93" s="195"/>
      <c r="Q93" s="195"/>
      <c r="R93" s="195"/>
      <c r="S93" s="483"/>
      <c r="CQ93" s="1"/>
      <c r="CR93" s="1"/>
      <c r="CS93" s="929"/>
      <c r="CT93" s="1"/>
    </row>
    <row r="94" spans="6:98" ht="18.75" thickBot="1">
      <c r="F94" s="482"/>
      <c r="G94" s="195"/>
      <c r="H94" s="199" t="s">
        <v>89</v>
      </c>
      <c r="I94" s="195"/>
      <c r="J94" s="195" t="s">
        <v>85</v>
      </c>
      <c r="K94" s="195"/>
      <c r="L94" s="195"/>
      <c r="M94" s="200" t="s">
        <v>36</v>
      </c>
      <c r="N94" s="195"/>
      <c r="O94" s="587">
        <f>SUM(O24:O28)+O21+O22</f>
        <v>12900</v>
      </c>
      <c r="P94" s="195"/>
      <c r="Q94" s="195"/>
      <c r="R94" s="195"/>
      <c r="S94" s="483"/>
      <c r="CQ94" s="1"/>
      <c r="CR94" s="1"/>
      <c r="CS94" s="929"/>
      <c r="CT94" s="1"/>
    </row>
    <row r="95" spans="6:98" ht="18.75" thickBot="1">
      <c r="F95" s="482"/>
      <c r="G95" s="195"/>
      <c r="H95" s="195"/>
      <c r="I95" s="195"/>
      <c r="J95" s="195"/>
      <c r="K95" s="195"/>
      <c r="L95" s="195"/>
      <c r="M95" s="195"/>
      <c r="N95" s="195"/>
      <c r="O95" s="588">
        <f>SUM(O89:O94)</f>
        <v>418620</v>
      </c>
      <c r="P95" s="186">
        <f>+O32</f>
        <v>31200</v>
      </c>
      <c r="Q95" s="195"/>
      <c r="R95" s="195"/>
      <c r="S95" s="483"/>
      <c r="CQ95" s="1"/>
      <c r="CR95" s="1"/>
      <c r="CS95" s="929"/>
      <c r="CT95" s="1"/>
    </row>
    <row r="96" spans="6:98" ht="18">
      <c r="F96" s="484" t="s">
        <v>90</v>
      </c>
      <c r="G96" s="195" t="s">
        <v>91</v>
      </c>
      <c r="H96" s="195"/>
      <c r="I96" s="195"/>
      <c r="J96" s="485"/>
      <c r="K96" s="195"/>
      <c r="L96" s="195"/>
      <c r="M96" s="200" t="s">
        <v>36</v>
      </c>
      <c r="N96" s="195"/>
      <c r="O96" s="48">
        <f>ROUND(T96*12,0)</f>
        <v>99600</v>
      </c>
      <c r="P96" s="203"/>
      <c r="Q96" s="7"/>
      <c r="R96" s="195"/>
      <c r="S96" s="185"/>
      <c r="T96" s="187">
        <f>ROUND((ROUND((O98+O101+L29)/12,0))/100,0)*100</f>
        <v>8300</v>
      </c>
      <c r="V96" t="e">
        <f>[2]!NUM2TEXT(+T96)</f>
        <v>#NAME?</v>
      </c>
      <c r="CQ96" s="1"/>
      <c r="CR96" s="1"/>
      <c r="CS96" s="929"/>
      <c r="CT96" s="1"/>
    </row>
    <row r="97" spans="6:98" ht="18">
      <c r="F97" s="484" t="s">
        <v>92</v>
      </c>
      <c r="G97" s="195" t="s">
        <v>93</v>
      </c>
      <c r="H97" s="195"/>
      <c r="I97" s="195"/>
      <c r="J97" s="485"/>
      <c r="K97" s="195"/>
      <c r="L97" s="195"/>
      <c r="M97" s="200" t="s">
        <v>36</v>
      </c>
      <c r="N97" s="195"/>
      <c r="O97" s="48">
        <f>+O89+O90+O91</f>
        <v>368520</v>
      </c>
      <c r="P97" s="203"/>
      <c r="Q97" s="7"/>
      <c r="R97" s="195"/>
      <c r="S97" s="185"/>
      <c r="T97" s="1"/>
      <c r="CQ97" s="1"/>
      <c r="CR97" s="1"/>
      <c r="CS97" s="929"/>
      <c r="CT97" s="1"/>
    </row>
    <row r="98" spans="6:98" ht="18">
      <c r="F98" s="484" t="s">
        <v>94</v>
      </c>
      <c r="G98" s="195" t="s">
        <v>95</v>
      </c>
      <c r="H98" s="195"/>
      <c r="I98" s="195"/>
      <c r="J98" s="485"/>
      <c r="K98" s="195"/>
      <c r="L98" s="195"/>
      <c r="M98" s="200" t="s">
        <v>36</v>
      </c>
      <c r="N98" s="7"/>
      <c r="O98" s="186">
        <f>ROUND(O97*0.1,0)</f>
        <v>36852</v>
      </c>
      <c r="P98" s="203"/>
      <c r="Q98" s="7"/>
      <c r="R98" s="195"/>
      <c r="S98" s="185"/>
      <c r="T98" s="1"/>
      <c r="CQ98" s="1"/>
      <c r="CR98" s="1"/>
      <c r="CS98" s="929"/>
      <c r="CT98" s="1"/>
    </row>
    <row r="99" spans="6:98" ht="18">
      <c r="F99" s="486" t="s">
        <v>98</v>
      </c>
      <c r="G99" s="195"/>
      <c r="H99" s="485"/>
      <c r="I99" s="195"/>
      <c r="J99" s="195"/>
      <c r="K99" s="195"/>
      <c r="L99" s="202" t="s">
        <v>96</v>
      </c>
      <c r="M99" s="200" t="s">
        <v>36</v>
      </c>
      <c r="N99" s="7"/>
      <c r="O99" s="48">
        <f>+O96-O98</f>
        <v>62748</v>
      </c>
      <c r="P99" s="7"/>
      <c r="Q99" s="7"/>
      <c r="R99" s="195"/>
      <c r="S99" s="185"/>
      <c r="T99" s="1"/>
      <c r="CQ99" s="1"/>
      <c r="CR99" s="1"/>
      <c r="CS99" s="929"/>
      <c r="CT99" s="1"/>
    </row>
    <row r="100" spans="6:98" ht="18">
      <c r="F100" s="486"/>
      <c r="G100" s="195"/>
      <c r="H100" s="485"/>
      <c r="I100" s="195"/>
      <c r="J100" s="195"/>
      <c r="K100" s="195"/>
      <c r="L100" s="195"/>
      <c r="M100" s="200"/>
      <c r="N100" s="7"/>
      <c r="O100" s="589"/>
      <c r="P100" s="7"/>
      <c r="Q100" s="195"/>
      <c r="R100" s="195"/>
      <c r="S100" s="483"/>
      <c r="T100" s="37"/>
      <c r="CQ100" s="1"/>
      <c r="CR100" s="1"/>
      <c r="CS100" s="929"/>
      <c r="CT100" s="1"/>
    </row>
    <row r="101" spans="6:98" ht="18">
      <c r="F101" s="486" t="s">
        <v>99</v>
      </c>
      <c r="G101" s="195"/>
      <c r="H101" s="485"/>
      <c r="I101" s="195"/>
      <c r="J101" s="195"/>
      <c r="K101" s="195"/>
      <c r="L101" s="195"/>
      <c r="M101" s="200" t="s">
        <v>36</v>
      </c>
      <c r="N101" s="195"/>
      <c r="O101" s="186">
        <f>+O92</f>
        <v>31200</v>
      </c>
      <c r="P101" s="195"/>
      <c r="Q101" s="195"/>
      <c r="R101" s="195"/>
      <c r="S101" s="483"/>
      <c r="T101" s="1"/>
      <c r="CQ101" s="1"/>
      <c r="CR101" s="1"/>
      <c r="CS101" s="929"/>
      <c r="CT101" s="1"/>
    </row>
    <row r="102" spans="6:98" ht="18">
      <c r="F102" s="486"/>
      <c r="G102" s="195"/>
      <c r="H102" s="485"/>
      <c r="I102" s="195"/>
      <c r="J102" s="195"/>
      <c r="K102" s="195"/>
      <c r="L102" s="195"/>
      <c r="M102" s="200"/>
      <c r="N102" s="195"/>
      <c r="O102" s="48"/>
      <c r="P102" s="195"/>
      <c r="Q102" s="195"/>
      <c r="R102" s="195"/>
      <c r="S102" s="483"/>
      <c r="T102" s="37"/>
      <c r="CQ102" s="1"/>
      <c r="CR102" s="1"/>
      <c r="CS102" s="929"/>
      <c r="CT102" s="1"/>
    </row>
    <row r="103" spans="6:98" ht="18">
      <c r="F103" s="486" t="s">
        <v>100</v>
      </c>
      <c r="G103" s="195"/>
      <c r="H103" s="485"/>
      <c r="I103" s="195"/>
      <c r="J103" s="195"/>
      <c r="K103" s="195"/>
      <c r="L103" s="195"/>
      <c r="M103" s="200" t="s">
        <v>36</v>
      </c>
      <c r="N103" s="195"/>
      <c r="O103" s="48">
        <f>ROUND(O97*0.5,0)</f>
        <v>184260</v>
      </c>
      <c r="P103" s="195"/>
      <c r="Q103" s="195"/>
      <c r="R103" s="195"/>
      <c r="S103" s="483"/>
      <c r="T103" s="1"/>
      <c r="CQ103" s="1"/>
      <c r="CR103" s="1"/>
      <c r="CS103" s="929"/>
      <c r="CT103" s="1"/>
    </row>
    <row r="104" spans="6:98" ht="18">
      <c r="F104" s="486"/>
      <c r="G104" s="195"/>
      <c r="H104" s="485"/>
      <c r="I104" s="195"/>
      <c r="J104" s="195"/>
      <c r="K104" s="195"/>
      <c r="L104" s="195"/>
      <c r="M104" s="200" t="s">
        <v>36</v>
      </c>
      <c r="N104" s="195"/>
      <c r="O104" s="48"/>
      <c r="P104" s="195"/>
      <c r="Q104" s="195"/>
      <c r="R104" s="195"/>
      <c r="S104" s="483"/>
      <c r="CQ104" s="1"/>
      <c r="CR104" s="1"/>
      <c r="CS104" s="929"/>
      <c r="CT104" s="1"/>
    </row>
    <row r="105" spans="6:98" ht="18">
      <c r="F105" s="26" t="s">
        <v>101</v>
      </c>
      <c r="G105" s="195"/>
      <c r="H105" s="485"/>
      <c r="I105" s="195"/>
      <c r="J105" s="195"/>
      <c r="K105" s="195"/>
      <c r="L105" s="195"/>
      <c r="M105" s="200" t="s">
        <v>36</v>
      </c>
      <c r="N105" s="195"/>
      <c r="O105" s="186">
        <f>MIN(O99,O101,O103)</f>
        <v>31200</v>
      </c>
      <c r="P105" s="195"/>
      <c r="Q105" s="195"/>
      <c r="R105" s="195"/>
      <c r="S105" s="483"/>
      <c r="CQ105" s="1"/>
      <c r="CR105" s="1"/>
      <c r="CS105" s="929"/>
      <c r="CT105" s="1"/>
    </row>
    <row r="106" spans="6:98" ht="18">
      <c r="F106" s="26"/>
      <c r="G106" s="195"/>
      <c r="H106" s="485"/>
      <c r="I106" s="195"/>
      <c r="J106" s="195"/>
      <c r="K106" s="195"/>
      <c r="L106" s="195"/>
      <c r="M106" s="1"/>
      <c r="N106" s="195"/>
      <c r="O106" s="1"/>
      <c r="P106" s="195"/>
      <c r="Q106" s="195"/>
      <c r="R106" s="195"/>
      <c r="S106" s="483"/>
      <c r="CQ106" s="1"/>
      <c r="CR106" s="1"/>
      <c r="CS106" s="929"/>
      <c r="CT106" s="1"/>
    </row>
    <row r="107" spans="6:98" ht="18">
      <c r="F107" s="487" t="s">
        <v>97</v>
      </c>
      <c r="G107" s="195"/>
      <c r="H107" s="485"/>
      <c r="I107" s="7"/>
      <c r="J107" s="7"/>
      <c r="K107" s="7"/>
      <c r="L107" s="7"/>
      <c r="M107" s="200" t="s">
        <v>36</v>
      </c>
      <c r="N107" s="7"/>
      <c r="O107" s="196" t="str">
        <f>C11</f>
        <v>Y</v>
      </c>
      <c r="P107" s="7"/>
      <c r="Q107" s="7"/>
      <c r="R107" s="195"/>
      <c r="S107" s="483"/>
      <c r="CQ107" s="1"/>
      <c r="CR107" s="1"/>
      <c r="CS107" s="929"/>
      <c r="CT107" s="1"/>
    </row>
    <row r="108" spans="6:98" ht="18">
      <c r="F108" s="488" t="s">
        <v>231</v>
      </c>
      <c r="G108" s="195"/>
      <c r="H108" s="485"/>
      <c r="I108" s="7"/>
      <c r="J108" s="7"/>
      <c r="K108" s="7"/>
      <c r="L108" s="7"/>
      <c r="M108" s="7"/>
      <c r="N108" s="7"/>
      <c r="O108" s="7"/>
      <c r="P108" s="7"/>
      <c r="Q108" s="7"/>
      <c r="R108" s="195"/>
      <c r="S108" s="483"/>
      <c r="CQ108" s="1"/>
      <c r="CR108" s="1"/>
      <c r="CS108" s="929"/>
      <c r="CT108" s="1"/>
    </row>
    <row r="109" spans="6:98" ht="18">
      <c r="F109" s="1688" t="s">
        <v>236</v>
      </c>
      <c r="G109" s="1689"/>
      <c r="H109" s="1689"/>
      <c r="I109" s="1689"/>
      <c r="J109" s="1689"/>
      <c r="K109" s="1689"/>
      <c r="L109" s="1689"/>
      <c r="M109" s="1689"/>
      <c r="N109" s="1689"/>
      <c r="O109" s="1689"/>
      <c r="P109" s="1689"/>
      <c r="Q109" s="1689"/>
      <c r="R109" s="1689"/>
      <c r="S109" s="483"/>
      <c r="CQ109" s="1"/>
      <c r="CR109" s="1"/>
      <c r="CS109" s="929"/>
      <c r="CT109" s="1"/>
    </row>
    <row r="110" spans="6:98" ht="12.75">
      <c r="F110" s="1688"/>
      <c r="G110" s="1689"/>
      <c r="H110" s="1689"/>
      <c r="I110" s="1689"/>
      <c r="J110" s="1689"/>
      <c r="K110" s="1689"/>
      <c r="L110" s="1689"/>
      <c r="M110" s="1689"/>
      <c r="N110" s="1689"/>
      <c r="O110" s="1689"/>
      <c r="P110" s="1689"/>
      <c r="Q110" s="1689"/>
      <c r="R110" s="1689"/>
      <c r="S110" s="483"/>
      <c r="CQ110" s="1"/>
      <c r="CR110" s="1"/>
      <c r="CS110" s="1"/>
      <c r="CT110" s="1"/>
    </row>
    <row r="111" spans="6:19" ht="13.5" thickBot="1">
      <c r="F111" s="487"/>
      <c r="G111" s="195"/>
      <c r="H111" s="485"/>
      <c r="I111" s="7"/>
      <c r="J111" s="7"/>
      <c r="K111" s="7"/>
      <c r="L111" s="7"/>
      <c r="M111" s="7"/>
      <c r="N111" s="7"/>
      <c r="O111" s="7"/>
      <c r="P111" s="7"/>
      <c r="Q111" s="7"/>
      <c r="R111" s="195"/>
      <c r="S111" s="483"/>
    </row>
    <row r="112" spans="6:19" ht="12.75">
      <c r="F112" s="482"/>
      <c r="G112" s="204">
        <v>1</v>
      </c>
      <c r="H112" s="205" t="str">
        <f>+I36</f>
        <v>INTEREST ON H.B.A.</v>
      </c>
      <c r="I112" s="205"/>
      <c r="J112" s="205"/>
      <c r="K112" s="205"/>
      <c r="L112" s="205"/>
      <c r="M112" s="206"/>
      <c r="N112" s="184" t="s">
        <v>36</v>
      </c>
      <c r="O112" s="207">
        <f>+O36</f>
        <v>0</v>
      </c>
      <c r="P112" s="1682"/>
      <c r="Q112" s="1683"/>
      <c r="R112" s="1684"/>
      <c r="S112" s="483"/>
    </row>
    <row r="113" spans="6:19" ht="12.75">
      <c r="F113" s="482"/>
      <c r="G113" s="208">
        <v>2</v>
      </c>
      <c r="H113" s="195" t="str">
        <f>+I38</f>
        <v>80-D MEDICIAL INSURANCE</v>
      </c>
      <c r="I113" s="195"/>
      <c r="J113" s="195"/>
      <c r="K113" s="195"/>
      <c r="L113" s="195"/>
      <c r="M113" s="7"/>
      <c r="N113" s="209" t="s">
        <v>36</v>
      </c>
      <c r="O113" s="210">
        <f>+O38</f>
        <v>0</v>
      </c>
      <c r="P113" s="1685"/>
      <c r="Q113" s="1686"/>
      <c r="R113" s="1687"/>
      <c r="S113" s="483"/>
    </row>
    <row r="114" spans="6:19" ht="13.5" thickBot="1">
      <c r="F114" s="482"/>
      <c r="G114" s="211">
        <v>3</v>
      </c>
      <c r="H114" s="212" t="str">
        <f>+I40</f>
        <v>TECH.EDUCATION INTEREST</v>
      </c>
      <c r="I114" s="212"/>
      <c r="J114" s="212"/>
      <c r="K114" s="212"/>
      <c r="L114" s="212"/>
      <c r="M114" s="213"/>
      <c r="N114" s="178" t="s">
        <v>36</v>
      </c>
      <c r="O114" s="214">
        <f>+O40</f>
        <v>0</v>
      </c>
      <c r="P114" s="1697">
        <f>+O112+O113+O114</f>
        <v>0</v>
      </c>
      <c r="Q114" s="1698"/>
      <c r="R114" s="1699"/>
      <c r="S114" s="483"/>
    </row>
    <row r="115" spans="6:19" ht="12.75">
      <c r="F115" s="482"/>
      <c r="G115" s="215">
        <v>1</v>
      </c>
      <c r="H115" s="205" t="str">
        <f aca="true" t="shared" si="19" ref="H115:H120">+R34</f>
        <v>PPF Subscription</v>
      </c>
      <c r="I115" s="205"/>
      <c r="J115" s="205"/>
      <c r="K115" s="205"/>
      <c r="L115" s="205"/>
      <c r="M115" s="206"/>
      <c r="N115" s="184" t="s">
        <v>36</v>
      </c>
      <c r="O115" s="207">
        <f aca="true" t="shared" si="20" ref="O115:O120">+V34</f>
        <v>0</v>
      </c>
      <c r="P115" s="205"/>
      <c r="Q115" s="205"/>
      <c r="R115" s="216"/>
      <c r="S115" s="483"/>
    </row>
    <row r="116" spans="6:19" ht="12.75">
      <c r="F116" s="482"/>
      <c r="G116" s="217">
        <v>2</v>
      </c>
      <c r="H116" s="218" t="str">
        <f t="shared" si="19"/>
        <v>PLI Subscription</v>
      </c>
      <c r="I116" s="218"/>
      <c r="J116" s="218"/>
      <c r="K116" s="218"/>
      <c r="L116" s="218"/>
      <c r="M116" s="219"/>
      <c r="N116" s="172" t="s">
        <v>36</v>
      </c>
      <c r="O116" s="220">
        <f t="shared" si="20"/>
        <v>0</v>
      </c>
      <c r="P116" s="218"/>
      <c r="Q116" s="218"/>
      <c r="R116" s="221"/>
      <c r="S116" s="483"/>
    </row>
    <row r="117" spans="6:19" ht="12.75">
      <c r="F117" s="482"/>
      <c r="G117" s="217">
        <v>3</v>
      </c>
      <c r="H117" s="218" t="str">
        <f t="shared" si="19"/>
        <v>LIC Subscription</v>
      </c>
      <c r="I117" s="218"/>
      <c r="J117" s="218"/>
      <c r="K117" s="218"/>
      <c r="L117" s="218"/>
      <c r="M117" s="219"/>
      <c r="N117" s="172" t="s">
        <v>36</v>
      </c>
      <c r="O117" s="220">
        <f t="shared" si="20"/>
        <v>0</v>
      </c>
      <c r="P117" s="218"/>
      <c r="Q117" s="218"/>
      <c r="R117" s="221"/>
      <c r="S117" s="483"/>
    </row>
    <row r="118" spans="6:19" ht="12.75">
      <c r="F118" s="482"/>
      <c r="G118" s="217">
        <v>4</v>
      </c>
      <c r="H118" s="218" t="str">
        <f t="shared" si="19"/>
        <v>Tution Fees</v>
      </c>
      <c r="I118" s="218"/>
      <c r="J118" s="218"/>
      <c r="K118" s="218"/>
      <c r="L118" s="218"/>
      <c r="M118" s="219"/>
      <c r="N118" s="172" t="s">
        <v>36</v>
      </c>
      <c r="O118" s="220">
        <f t="shared" si="20"/>
        <v>0</v>
      </c>
      <c r="P118" s="218"/>
      <c r="Q118" s="218"/>
      <c r="R118" s="221"/>
      <c r="S118" s="483"/>
    </row>
    <row r="119" spans="6:19" ht="12.75">
      <c r="F119" s="482"/>
      <c r="G119" s="217">
        <v>5</v>
      </c>
      <c r="H119" s="218" t="str">
        <f t="shared" si="19"/>
        <v>ICICI Prudential</v>
      </c>
      <c r="I119" s="218"/>
      <c r="J119" s="218"/>
      <c r="K119" s="218"/>
      <c r="L119" s="218"/>
      <c r="M119" s="219"/>
      <c r="N119" s="172" t="s">
        <v>36</v>
      </c>
      <c r="O119" s="220">
        <f t="shared" si="20"/>
        <v>0</v>
      </c>
      <c r="P119" s="218"/>
      <c r="Q119" s="218"/>
      <c r="R119" s="221"/>
      <c r="S119" s="483"/>
    </row>
    <row r="120" spans="6:19" ht="13.5" thickBot="1">
      <c r="F120" s="482"/>
      <c r="G120" s="222">
        <v>6</v>
      </c>
      <c r="H120" s="212" t="str">
        <f t="shared" si="19"/>
        <v>Refund of loan for H.B.A.</v>
      </c>
      <c r="I120" s="212"/>
      <c r="J120" s="212"/>
      <c r="K120" s="212"/>
      <c r="L120" s="212"/>
      <c r="M120" s="213"/>
      <c r="N120" s="178" t="s">
        <v>36</v>
      </c>
      <c r="O120" s="214">
        <f t="shared" si="20"/>
        <v>0</v>
      </c>
      <c r="P120" s="212"/>
      <c r="Q120" s="212"/>
      <c r="R120" s="223"/>
      <c r="S120" s="483"/>
    </row>
    <row r="121" spans="6:19" ht="13.5" thickBot="1">
      <c r="F121" s="482"/>
      <c r="G121" s="224">
        <v>7</v>
      </c>
      <c r="H121" s="225" t="str">
        <f>+AU17</f>
        <v>INFRASTRUCTURE BOND</v>
      </c>
      <c r="I121" s="226"/>
      <c r="J121" s="226"/>
      <c r="K121" s="225"/>
      <c r="L121" s="225"/>
      <c r="M121" s="227"/>
      <c r="N121" s="228" t="s">
        <v>36</v>
      </c>
      <c r="O121" s="229">
        <f>+V43</f>
        <v>0</v>
      </c>
      <c r="P121" s="1679">
        <f>+O115+O116+O117+O118+O119+O120</f>
        <v>0</v>
      </c>
      <c r="Q121" s="1680"/>
      <c r="R121" s="1681"/>
      <c r="S121" s="483"/>
    </row>
    <row r="122" spans="6:19" ht="12.75">
      <c r="F122" s="482"/>
      <c r="G122" s="202"/>
      <c r="H122" s="195"/>
      <c r="I122" s="195"/>
      <c r="J122" s="195"/>
      <c r="K122" s="195"/>
      <c r="L122" s="195"/>
      <c r="M122" s="7"/>
      <c r="N122" s="196"/>
      <c r="O122" s="201"/>
      <c r="P122" s="195"/>
      <c r="Q122" s="195"/>
      <c r="R122" s="195"/>
      <c r="S122" s="483"/>
    </row>
    <row r="123" spans="6:19" ht="12.75">
      <c r="F123" s="482"/>
      <c r="G123" s="202"/>
      <c r="H123" s="195"/>
      <c r="I123" s="195"/>
      <c r="J123" s="195"/>
      <c r="K123" s="195"/>
      <c r="L123" s="195"/>
      <c r="M123" s="7"/>
      <c r="N123" s="196"/>
      <c r="O123" s="201"/>
      <c r="P123" s="195"/>
      <c r="Q123" s="195"/>
      <c r="R123" s="195"/>
      <c r="S123" s="483"/>
    </row>
    <row r="124" spans="6:19" ht="13.5" thickBot="1">
      <c r="F124" s="489"/>
      <c r="G124" s="490"/>
      <c r="H124" s="490"/>
      <c r="I124" s="490"/>
      <c r="J124" s="490"/>
      <c r="K124" s="490"/>
      <c r="L124" s="490"/>
      <c r="M124" s="490"/>
      <c r="N124" s="491" t="s">
        <v>50</v>
      </c>
      <c r="O124" s="490"/>
      <c r="P124" s="490"/>
      <c r="Q124" s="490"/>
      <c r="R124" s="490"/>
      <c r="S124" s="492"/>
    </row>
    <row r="125" spans="6:19" ht="12.75"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194"/>
      <c r="S125" s="194"/>
    </row>
    <row r="126" ht="12.75" customHeight="1" hidden="1"/>
    <row r="127" ht="12.75" customHeight="1" hidden="1"/>
    <row r="128" ht="18" customHeight="1" hidden="1">
      <c r="C128" s="498">
        <v>1</v>
      </c>
    </row>
    <row r="129" ht="18" customHeight="1" hidden="1">
      <c r="C129" s="498">
        <v>4</v>
      </c>
    </row>
    <row r="130" ht="18" customHeight="1" hidden="1">
      <c r="C130" s="498">
        <v>7</v>
      </c>
    </row>
    <row r="131" ht="18" customHeight="1" hidden="1">
      <c r="C131" s="498">
        <v>10</v>
      </c>
    </row>
    <row r="132" ht="12.75" customHeight="1" hidden="1"/>
    <row r="133" ht="18" customHeight="1" hidden="1">
      <c r="C133" s="498" t="s">
        <v>6</v>
      </c>
    </row>
    <row r="134" ht="18" customHeight="1" hidden="1">
      <c r="C134" s="498" t="s">
        <v>8</v>
      </c>
    </row>
    <row r="135" ht="12.75" customHeight="1" hidden="1"/>
    <row r="136" ht="18" customHeight="1" hidden="1">
      <c r="C136" s="498" t="s">
        <v>70</v>
      </c>
    </row>
    <row r="137" ht="18" customHeight="1" hidden="1">
      <c r="C137" s="498" t="s">
        <v>72</v>
      </c>
    </row>
    <row r="138" ht="12.75" customHeight="1" hidden="1"/>
    <row r="139" ht="12.75" customHeight="1" hidden="1"/>
    <row r="140" ht="15.75" customHeight="1" hidden="1">
      <c r="C140" s="499">
        <v>0</v>
      </c>
    </row>
    <row r="141" ht="15.75" customHeight="1" hidden="1">
      <c r="C141" s="499">
        <v>3</v>
      </c>
    </row>
    <row r="142" ht="15.75" customHeight="1" hidden="1">
      <c r="C142" s="499">
        <f>+C141+1</f>
        <v>4</v>
      </c>
    </row>
    <row r="143" ht="15.75" customHeight="1" hidden="1">
      <c r="C143" s="499">
        <f aca="true" t="shared" si="21" ref="C143:C154">+C142+1</f>
        <v>5</v>
      </c>
    </row>
    <row r="144" ht="15.75" customHeight="1" hidden="1">
      <c r="C144" s="499">
        <f t="shared" si="21"/>
        <v>6</v>
      </c>
    </row>
    <row r="145" ht="15.75" customHeight="1" hidden="1">
      <c r="C145" s="499">
        <f t="shared" si="21"/>
        <v>7</v>
      </c>
    </row>
    <row r="146" ht="15.75" customHeight="1" hidden="1">
      <c r="C146" s="499">
        <f t="shared" si="21"/>
        <v>8</v>
      </c>
    </row>
    <row r="147" ht="15.75" customHeight="1" hidden="1">
      <c r="C147" s="499">
        <f t="shared" si="21"/>
        <v>9</v>
      </c>
    </row>
    <row r="148" ht="15.75" customHeight="1" hidden="1">
      <c r="C148" s="499">
        <f t="shared" si="21"/>
        <v>10</v>
      </c>
    </row>
    <row r="149" ht="15.75" customHeight="1" hidden="1">
      <c r="C149" s="499">
        <f t="shared" si="21"/>
        <v>11</v>
      </c>
    </row>
    <row r="150" ht="15.75" customHeight="1" hidden="1">
      <c r="C150" s="499">
        <f t="shared" si="21"/>
        <v>12</v>
      </c>
    </row>
    <row r="151" ht="12.75" customHeight="1" hidden="1"/>
    <row r="152" ht="15.75" customHeight="1" hidden="1">
      <c r="C152" s="499">
        <v>0</v>
      </c>
    </row>
    <row r="153" ht="15.75" customHeight="1" hidden="1">
      <c r="C153" s="499">
        <f t="shared" si="21"/>
        <v>1</v>
      </c>
    </row>
    <row r="154" ht="15.75" customHeight="1" hidden="1">
      <c r="C154" s="499">
        <f t="shared" si="21"/>
        <v>2</v>
      </c>
    </row>
    <row r="155" ht="15.75" customHeight="1" hidden="1">
      <c r="C155" s="499"/>
    </row>
    <row r="156" ht="15.75" customHeight="1" hidden="1">
      <c r="C156" s="499" t="s">
        <v>234</v>
      </c>
    </row>
    <row r="157" ht="15.75" customHeight="1" hidden="1">
      <c r="C157" s="499" t="s">
        <v>235</v>
      </c>
    </row>
    <row r="158" ht="12.75" customHeight="1" hidden="1"/>
    <row r="159" spans="2:3" ht="13.5" customHeight="1" hidden="1" thickBot="1">
      <c r="B159" s="501" t="s">
        <v>71</v>
      </c>
      <c r="C159" s="502">
        <v>0</v>
      </c>
    </row>
    <row r="160" spans="2:3" ht="12.75" customHeight="1" hidden="1">
      <c r="B160" s="503">
        <v>1</v>
      </c>
      <c r="C160" s="504">
        <v>1900</v>
      </c>
    </row>
    <row r="161" spans="2:3" ht="12.75" customHeight="1" hidden="1">
      <c r="B161" s="505">
        <f>+B160+1</f>
        <v>2</v>
      </c>
      <c r="C161" s="506">
        <v>2200</v>
      </c>
    </row>
    <row r="162" spans="2:3" ht="12.75" customHeight="1" hidden="1">
      <c r="B162" s="505">
        <f aca="true" t="shared" si="22" ref="B162:B170">+B161+1</f>
        <v>3</v>
      </c>
      <c r="C162" s="506">
        <v>2500</v>
      </c>
    </row>
    <row r="163" spans="2:3" ht="12.75" customHeight="1" hidden="1">
      <c r="B163" s="505">
        <f t="shared" si="22"/>
        <v>4</v>
      </c>
      <c r="C163" s="506">
        <v>2800</v>
      </c>
    </row>
    <row r="164" spans="2:3" ht="12.75" customHeight="1" hidden="1">
      <c r="B164" s="505">
        <f t="shared" si="22"/>
        <v>5</v>
      </c>
      <c r="C164" s="506">
        <v>4300</v>
      </c>
    </row>
    <row r="165" spans="2:3" ht="12.75" customHeight="1" hidden="1">
      <c r="B165" s="505">
        <f t="shared" si="22"/>
        <v>6</v>
      </c>
      <c r="C165" s="506">
        <v>5100</v>
      </c>
    </row>
    <row r="166" spans="2:3" ht="12.75" customHeight="1" hidden="1">
      <c r="B166" s="505">
        <f t="shared" si="22"/>
        <v>7</v>
      </c>
      <c r="C166" s="506">
        <v>5400</v>
      </c>
    </row>
    <row r="167" spans="2:3" ht="12.75" customHeight="1" hidden="1">
      <c r="B167" s="505">
        <f t="shared" si="22"/>
        <v>8</v>
      </c>
      <c r="C167" s="506">
        <v>6100</v>
      </c>
    </row>
    <row r="168" spans="2:3" ht="12.75" customHeight="1" hidden="1">
      <c r="B168" s="505">
        <f t="shared" si="22"/>
        <v>9</v>
      </c>
      <c r="C168" s="506">
        <v>6200</v>
      </c>
    </row>
    <row r="169" spans="2:3" ht="12.75" customHeight="1" hidden="1">
      <c r="B169" s="505">
        <f t="shared" si="22"/>
        <v>10</v>
      </c>
      <c r="C169" s="506">
        <v>7000</v>
      </c>
    </row>
    <row r="170" spans="2:3" ht="12.75" customHeight="1" hidden="1">
      <c r="B170" s="505">
        <f t="shared" si="22"/>
        <v>11</v>
      </c>
      <c r="C170" s="506">
        <v>8700</v>
      </c>
    </row>
    <row r="171" spans="2:3" ht="12.75" customHeight="1" hidden="1">
      <c r="B171" s="505">
        <v>12</v>
      </c>
      <c r="C171" s="506">
        <v>4300</v>
      </c>
    </row>
    <row r="172" spans="2:3" ht="12.75" customHeight="1" hidden="1">
      <c r="B172" s="505">
        <v>13</v>
      </c>
      <c r="C172" s="506">
        <v>2900</v>
      </c>
    </row>
    <row r="173" spans="2:3" ht="12.75" customHeight="1" hidden="1">
      <c r="B173" s="505">
        <v>14</v>
      </c>
      <c r="C173" s="506">
        <v>9500</v>
      </c>
    </row>
    <row r="174" spans="2:3" ht="13.5" customHeight="1" hidden="1" thickBot="1">
      <c r="B174" s="507">
        <v>15</v>
      </c>
      <c r="C174" s="508">
        <v>1400</v>
      </c>
    </row>
    <row r="175" spans="2:3" ht="13.5" customHeight="1" hidden="1" thickBot="1">
      <c r="B175" s="509">
        <v>16</v>
      </c>
      <c r="C175" s="510">
        <v>300</v>
      </c>
    </row>
    <row r="176" ht="12.75" customHeight="1" hidden="1"/>
    <row r="177" ht="12.75" customHeight="1" hidden="1"/>
    <row r="178" ht="12.75" customHeight="1" hidden="1"/>
  </sheetData>
  <sheetProtection/>
  <mergeCells count="98">
    <mergeCell ref="R45:U45"/>
    <mergeCell ref="R50:T50"/>
    <mergeCell ref="H57:V57"/>
    <mergeCell ref="I52:N52"/>
    <mergeCell ref="BZ6:CE6"/>
    <mergeCell ref="CH6:CI6"/>
    <mergeCell ref="I6:I7"/>
    <mergeCell ref="J6:J7"/>
    <mergeCell ref="I49:N49"/>
    <mergeCell ref="I51:N51"/>
    <mergeCell ref="B53:B60"/>
    <mergeCell ref="B63:B70"/>
    <mergeCell ref="B10:B11"/>
    <mergeCell ref="R54:T54"/>
    <mergeCell ref="R44:U44"/>
    <mergeCell ref="R46:U46"/>
    <mergeCell ref="R30:U30"/>
    <mergeCell ref="H58:V58"/>
    <mergeCell ref="H59:V59"/>
    <mergeCell ref="I48:N48"/>
    <mergeCell ref="AU22:AW22"/>
    <mergeCell ref="I31:N31"/>
    <mergeCell ref="P24:V24"/>
    <mergeCell ref="K6:K7"/>
    <mergeCell ref="I30:N30"/>
    <mergeCell ref="I50:N50"/>
    <mergeCell ref="R6:R7"/>
    <mergeCell ref="R33:T33"/>
    <mergeCell ref="AB12:AC12"/>
    <mergeCell ref="L6:L7"/>
    <mergeCell ref="I32:M32"/>
    <mergeCell ref="I34:M34"/>
    <mergeCell ref="S6:S7"/>
    <mergeCell ref="T6:T7"/>
    <mergeCell ref="I33:N33"/>
    <mergeCell ref="N6:N7"/>
    <mergeCell ref="O6:O7"/>
    <mergeCell ref="M6:M7"/>
    <mergeCell ref="M35:N35"/>
    <mergeCell ref="I37:J37"/>
    <mergeCell ref="P114:R114"/>
    <mergeCell ref="I56:N56"/>
    <mergeCell ref="R56:U56"/>
    <mergeCell ref="R42:T42"/>
    <mergeCell ref="I39:J39"/>
    <mergeCell ref="R43:T43"/>
    <mergeCell ref="R39:T39"/>
    <mergeCell ref="K37:N37"/>
    <mergeCell ref="K39:N39"/>
    <mergeCell ref="P121:R121"/>
    <mergeCell ref="P112:R112"/>
    <mergeCell ref="P113:R113"/>
    <mergeCell ref="F109:R110"/>
    <mergeCell ref="E60:F60"/>
    <mergeCell ref="E56:F56"/>
    <mergeCell ref="E58:F58"/>
    <mergeCell ref="F87:S87"/>
    <mergeCell ref="C63:F63"/>
    <mergeCell ref="G1:W1"/>
    <mergeCell ref="G2:W2"/>
    <mergeCell ref="R37:T37"/>
    <mergeCell ref="R31:T31"/>
    <mergeCell ref="R32:T32"/>
    <mergeCell ref="R34:T34"/>
    <mergeCell ref="G6:G7"/>
    <mergeCell ref="R35:T35"/>
    <mergeCell ref="U6:U7"/>
    <mergeCell ref="I36:M36"/>
    <mergeCell ref="H6:H7"/>
    <mergeCell ref="Q3:V3"/>
    <mergeCell ref="R49:T49"/>
    <mergeCell ref="R55:U55"/>
    <mergeCell ref="R53:U53"/>
    <mergeCell ref="R51:S51"/>
    <mergeCell ref="R52:T52"/>
    <mergeCell ref="I53:N53"/>
    <mergeCell ref="Q4:V4"/>
    <mergeCell ref="I38:M38"/>
    <mergeCell ref="R38:T38"/>
    <mergeCell ref="I43:N43"/>
    <mergeCell ref="R41:U41"/>
    <mergeCell ref="R40:T40"/>
    <mergeCell ref="I41:N41"/>
    <mergeCell ref="I54:N54"/>
    <mergeCell ref="I47:N47"/>
    <mergeCell ref="R48:T48"/>
    <mergeCell ref="R47:U47"/>
    <mergeCell ref="I46:N46"/>
    <mergeCell ref="I40:M40"/>
    <mergeCell ref="I42:M42"/>
    <mergeCell ref="C53:F53"/>
    <mergeCell ref="E54:F54"/>
    <mergeCell ref="E55:F55"/>
    <mergeCell ref="E59:F59"/>
    <mergeCell ref="E57:F57"/>
    <mergeCell ref="I55:N55"/>
    <mergeCell ref="I44:N44"/>
    <mergeCell ref="I45:M45"/>
  </mergeCells>
  <printOptions/>
  <pageMargins left="0.9055118110236221" right="0.2362204724409449" top="0.15748031496062992" bottom="0.15748031496062992" header="0.5118110236220472" footer="0.5118110236220472"/>
  <pageSetup fitToHeight="1" fitToWidth="1" horizontalDpi="300" verticalDpi="300" orientation="portrait" paperSize="9" scale="73" r:id="rId3"/>
  <headerFooter alignWithMargins="0">
    <oddFooter>&amp;L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337"/>
  <sheetViews>
    <sheetView zoomScalePageLayoutView="0" workbookViewId="0" topLeftCell="A22">
      <selection activeCell="Q8" sqref="Q8"/>
    </sheetView>
  </sheetViews>
  <sheetFormatPr defaultColWidth="9.140625" defaultRowHeight="12.75"/>
  <cols>
    <col min="1" max="1" width="25.00390625" style="0" customWidth="1"/>
    <col min="2" max="2" width="21.57421875" style="0" customWidth="1"/>
    <col min="5" max="5" width="12.140625" style="0" customWidth="1"/>
    <col min="6" max="6" width="5.57421875" style="0" customWidth="1"/>
    <col min="7" max="7" width="8.140625" style="0" customWidth="1"/>
    <col min="8" max="8" width="7.28125" style="0" customWidth="1"/>
    <col min="9" max="9" width="5.00390625" style="0" customWidth="1"/>
    <col min="10" max="10" width="7.8515625" style="0" customWidth="1"/>
    <col min="11" max="11" width="6.8515625" style="0" customWidth="1"/>
    <col min="12" max="12" width="5.7109375" style="0" customWidth="1"/>
    <col min="13" max="13" width="7.00390625" style="0" customWidth="1"/>
    <col min="14" max="14" width="8.421875" style="0" customWidth="1"/>
    <col min="15" max="15" width="6.7109375" style="0" customWidth="1"/>
    <col min="16" max="16" width="4.8515625" style="0" customWidth="1"/>
    <col min="17" max="17" width="5.8515625" style="0" customWidth="1"/>
    <col min="18" max="18" width="6.421875" style="0" customWidth="1"/>
    <col min="19" max="19" width="6.28125" style="0" customWidth="1"/>
    <col min="20" max="20" width="6.421875" style="0" customWidth="1"/>
    <col min="21" max="21" width="9.140625" style="0" customWidth="1"/>
    <col min="22" max="22" width="7.421875" style="194" customWidth="1"/>
    <col min="23" max="23" width="3.8515625" style="0" customWidth="1"/>
    <col min="24" max="24" width="15.7109375" style="0" customWidth="1"/>
    <col min="25" max="25" width="10.8515625" style="0" customWidth="1"/>
    <col min="26" max="26" width="9.57421875" style="0" customWidth="1"/>
    <col min="27" max="27" width="9.140625" style="0" customWidth="1"/>
    <col min="28" max="28" width="9.57421875" style="0" customWidth="1"/>
    <col min="29" max="32" width="9.140625" style="0" customWidth="1"/>
    <col min="33" max="38" width="9.57421875" style="0" customWidth="1"/>
    <col min="39" max="39" width="12.28125" style="0" customWidth="1"/>
    <col min="40" max="40" width="9.57421875" style="0" customWidth="1"/>
    <col min="41" max="41" width="9.140625" style="0" customWidth="1"/>
    <col min="42" max="42" width="10.8515625" style="0" customWidth="1"/>
    <col min="43" max="49" width="9.140625" style="0" customWidth="1"/>
    <col min="50" max="50" width="11.28125" style="0" customWidth="1"/>
    <col min="51" max="76" width="9.140625" style="0" customWidth="1"/>
  </cols>
  <sheetData>
    <row r="1" spans="1:61" ht="15" customHeight="1">
      <c r="A1" s="16" t="s">
        <v>0</v>
      </c>
      <c r="B1" s="16" t="str">
        <f>+'IT-STATEMENT-2021-2022 OLD'!C1</f>
        <v>S.BALAJI</v>
      </c>
      <c r="D1" s="94" t="s">
        <v>68</v>
      </c>
      <c r="E1" s="18"/>
      <c r="G1" s="1754" t="s">
        <v>309</v>
      </c>
      <c r="H1" s="1754"/>
      <c r="I1" s="1754"/>
      <c r="J1" s="1754"/>
      <c r="K1" s="1754"/>
      <c r="L1" s="1754"/>
      <c r="M1" s="1754"/>
      <c r="N1" s="1754"/>
      <c r="O1" s="1754"/>
      <c r="P1" s="1754"/>
      <c r="Q1" s="1754"/>
      <c r="R1" s="1754"/>
      <c r="S1" s="1754"/>
      <c r="T1" s="1754"/>
      <c r="U1" s="1754"/>
      <c r="V1" s="594"/>
      <c r="X1" s="1755" t="s">
        <v>310</v>
      </c>
      <c r="AA1" s="106"/>
      <c r="AB1" s="107"/>
      <c r="AC1" s="106"/>
      <c r="AD1" s="106"/>
      <c r="AE1" s="106"/>
      <c r="AF1" s="106"/>
      <c r="AG1" s="106"/>
      <c r="AH1" s="1775" t="s">
        <v>311</v>
      </c>
      <c r="AI1" s="1776"/>
      <c r="AJ1" s="1776"/>
      <c r="AK1" s="1776"/>
      <c r="AL1" s="1777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</row>
    <row r="2" spans="1:61" s="10" customFormat="1" ht="18.75" customHeight="1">
      <c r="A2" s="105" t="s">
        <v>7</v>
      </c>
      <c r="B2" s="16" t="str">
        <f>+'IT-STATEMENT-2021-2022 OLD'!C2</f>
        <v>JE-II</v>
      </c>
      <c r="D2" s="95" t="s">
        <v>69</v>
      </c>
      <c r="G2" s="1665" t="s">
        <v>383</v>
      </c>
      <c r="H2" s="1665"/>
      <c r="I2" s="1665"/>
      <c r="J2" s="1665"/>
      <c r="K2" s="1665"/>
      <c r="L2" s="1665"/>
      <c r="M2" s="1665"/>
      <c r="N2" s="1665"/>
      <c r="O2" s="1665"/>
      <c r="P2" s="1665"/>
      <c r="Q2" s="1665"/>
      <c r="R2" s="1665"/>
      <c r="S2" s="1665"/>
      <c r="T2" s="1665"/>
      <c r="U2" s="1665"/>
      <c r="V2" s="595"/>
      <c r="X2" s="1756"/>
      <c r="AA2" s="108"/>
      <c r="AB2" s="109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6"/>
      <c r="BB2" s="106"/>
      <c r="BC2" s="106"/>
      <c r="BD2" s="106"/>
      <c r="BE2" s="106"/>
      <c r="BF2" s="106"/>
      <c r="BG2" s="108"/>
      <c r="BH2" s="108"/>
      <c r="BI2" s="108"/>
    </row>
    <row r="3" spans="1:61" ht="16.5" thickBot="1">
      <c r="A3" s="16" t="s">
        <v>1</v>
      </c>
      <c r="B3" s="16" t="str">
        <f>+'IT-STATEMENT-2021-2022 OLD'!C3</f>
        <v>110KV NANDANAM SS</v>
      </c>
      <c r="D3" s="897" t="str">
        <f>+'IT-STATEMENT-2021-2022 OLD'!E3</f>
        <v>S</v>
      </c>
      <c r="G3" s="13" t="s">
        <v>9</v>
      </c>
      <c r="H3" s="13" t="str">
        <f>+B1</f>
        <v>S.BALAJI</v>
      </c>
      <c r="I3" s="13"/>
      <c r="J3" s="13"/>
      <c r="K3" s="13"/>
      <c r="L3" s="13"/>
      <c r="M3" s="14"/>
      <c r="N3" s="14"/>
      <c r="O3" s="8"/>
      <c r="P3" s="1641" t="s">
        <v>52</v>
      </c>
      <c r="Q3" s="1641"/>
      <c r="R3" s="1641"/>
      <c r="S3" s="1641"/>
      <c r="T3" s="1641"/>
      <c r="U3" s="1641"/>
      <c r="X3" s="596">
        <v>42948</v>
      </c>
      <c r="Y3" s="597"/>
      <c r="AA3" s="106"/>
      <c r="AB3" s="107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</row>
    <row r="4" spans="1:61" ht="18.75" thickBot="1">
      <c r="A4" s="104" t="str">
        <f>+'IT-STATEMENT-2021-2022 OLD'!B4</f>
        <v>PAY SCALE</v>
      </c>
      <c r="B4" s="904">
        <f>+'IT-STATEMENT-2021-2022 OLD'!C4</f>
        <v>4</v>
      </c>
      <c r="G4" s="13" t="s">
        <v>10</v>
      </c>
      <c r="H4" s="13" t="str">
        <f>+B2</f>
        <v>JE-II</v>
      </c>
      <c r="I4" s="13"/>
      <c r="J4" s="13"/>
      <c r="K4" s="13"/>
      <c r="L4" s="13"/>
      <c r="M4" s="14"/>
      <c r="N4" s="14"/>
      <c r="O4" s="8"/>
      <c r="P4" s="1659" t="e">
        <f>+'IT-STATEMENT-2021-2022 OLD'!Q4:V4</f>
        <v>#VALUE!</v>
      </c>
      <c r="Q4" s="1660"/>
      <c r="R4" s="1660"/>
      <c r="S4" s="1660"/>
      <c r="T4" s="1660"/>
      <c r="U4" s="1661"/>
      <c r="X4" s="598">
        <f>+AD49</f>
        <v>0</v>
      </c>
      <c r="AA4" s="106"/>
      <c r="AB4" s="107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</row>
    <row r="5" spans="1:61" ht="16.5" thickBot="1">
      <c r="A5" s="99" t="s">
        <v>384</v>
      </c>
      <c r="B5" s="17">
        <f>+'IT-STATEMENT-2021-2022 OLD'!C5</f>
        <v>25000</v>
      </c>
      <c r="D5" s="31"/>
      <c r="G5" s="13" t="s">
        <v>11</v>
      </c>
      <c r="H5" s="13" t="str">
        <f>+B3</f>
        <v>110KV NANDANAM SS</v>
      </c>
      <c r="I5" s="13"/>
      <c r="J5" s="13"/>
      <c r="K5" s="13"/>
      <c r="L5" s="13"/>
      <c r="M5" s="14"/>
      <c r="N5" s="14"/>
      <c r="O5" s="8"/>
      <c r="P5" s="8"/>
      <c r="Q5" s="8"/>
      <c r="R5" s="8"/>
      <c r="S5" s="8"/>
      <c r="T5" s="8"/>
      <c r="U5" s="8"/>
      <c r="AA5" s="81"/>
      <c r="AB5" s="82"/>
      <c r="AC5" s="82"/>
      <c r="AD5" s="82" t="s">
        <v>65</v>
      </c>
      <c r="AE5" s="82"/>
      <c r="AF5" s="83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3"/>
    </row>
    <row r="6" spans="1:74" ht="31.5" customHeight="1" thickBot="1">
      <c r="A6" s="16" t="s">
        <v>71</v>
      </c>
      <c r="B6" s="571">
        <f>+'IT-STATEMENT-2021-2022 OLD'!C6</f>
        <v>0</v>
      </c>
      <c r="D6" s="32"/>
      <c r="F6" s="1778" t="s">
        <v>51</v>
      </c>
      <c r="G6" s="1763" t="s">
        <v>13</v>
      </c>
      <c r="H6" s="1765" t="s">
        <v>14</v>
      </c>
      <c r="I6" s="1767" t="s">
        <v>2</v>
      </c>
      <c r="J6" s="1769" t="s">
        <v>15</v>
      </c>
      <c r="K6" s="1769" t="s">
        <v>16</v>
      </c>
      <c r="L6" s="1769" t="s">
        <v>17</v>
      </c>
      <c r="M6" s="1784" t="s">
        <v>380</v>
      </c>
      <c r="N6" s="1786" t="s">
        <v>18</v>
      </c>
      <c r="O6" s="599" t="s">
        <v>19</v>
      </c>
      <c r="P6" s="600" t="s">
        <v>20</v>
      </c>
      <c r="Q6" s="1759" t="s">
        <v>21</v>
      </c>
      <c r="R6" s="1759" t="s">
        <v>5</v>
      </c>
      <c r="S6" s="1759" t="s">
        <v>22</v>
      </c>
      <c r="T6" s="1759" t="s">
        <v>23</v>
      </c>
      <c r="U6" s="601" t="s">
        <v>24</v>
      </c>
      <c r="V6" s="496" t="s">
        <v>53</v>
      </c>
      <c r="W6" s="402"/>
      <c r="AA6" s="84"/>
      <c r="AB6" s="78"/>
      <c r="AC6" s="78"/>
      <c r="AD6" s="80">
        <v>1.36</v>
      </c>
      <c r="AE6" s="80">
        <v>1.32</v>
      </c>
      <c r="AF6" s="85" t="s">
        <v>66</v>
      </c>
      <c r="AG6" s="107"/>
      <c r="AH6" s="107"/>
      <c r="AI6" s="114">
        <f aca="true" t="shared" si="0" ref="AI6:AI11">+N13</f>
        <v>30706</v>
      </c>
      <c r="AJ6" s="112"/>
      <c r="AK6" s="115" t="s">
        <v>4</v>
      </c>
      <c r="AL6" s="116">
        <f>+N8</f>
        <v>29850</v>
      </c>
      <c r="AM6" s="116">
        <f>+AL9</f>
        <v>182524</v>
      </c>
      <c r="AN6" s="113">
        <f>IF(AM6&lt;21000,0,IF(AM6&lt;30000,100,IF(AM6&lt;45000,235,IF(AM6&lt;60000,510,IF(AM6&lt;75000,760,1095)))))</f>
        <v>1095</v>
      </c>
      <c r="AO6" s="930" t="s">
        <v>6</v>
      </c>
      <c r="AP6" s="117" t="s">
        <v>6</v>
      </c>
      <c r="AQ6" s="118">
        <v>250000</v>
      </c>
      <c r="AR6" s="112"/>
      <c r="AS6" s="119" t="e">
        <f>+AX21</f>
        <v>#N/A</v>
      </c>
      <c r="AT6" s="120"/>
      <c r="AU6" s="121"/>
      <c r="AV6" s="112"/>
      <c r="AW6" s="112" t="s">
        <v>42</v>
      </c>
      <c r="AX6" s="118" t="s">
        <v>238</v>
      </c>
      <c r="AY6" s="122"/>
      <c r="AZ6" s="112"/>
      <c r="BA6" s="112"/>
      <c r="BB6" s="378">
        <v>0</v>
      </c>
      <c r="BC6" s="378">
        <v>0</v>
      </c>
      <c r="BD6" s="378"/>
      <c r="BE6" s="378">
        <v>0</v>
      </c>
      <c r="BF6" s="378">
        <v>0</v>
      </c>
      <c r="BG6" s="112"/>
      <c r="BH6" s="123" t="e">
        <f>IF(U79&gt;500001,U79-O80,IF(U79&lt;1000000,U79-O80,0))</f>
        <v>#N/A</v>
      </c>
      <c r="BI6" s="113"/>
      <c r="BR6" s="905">
        <v>0</v>
      </c>
      <c r="BS6" s="905">
        <v>1300</v>
      </c>
      <c r="BU6" s="907">
        <v>0</v>
      </c>
      <c r="BV6" s="907">
        <v>0</v>
      </c>
    </row>
    <row r="7" spans="1:74" ht="17.25" customHeight="1" thickBot="1">
      <c r="A7" s="15" t="s">
        <v>12</v>
      </c>
      <c r="B7" s="45">
        <f>+'IT-STATEMENT-2021-2022 OLD'!C7</f>
        <v>800</v>
      </c>
      <c r="C7" s="9"/>
      <c r="F7" s="1779"/>
      <c r="G7" s="1764"/>
      <c r="H7" s="1766"/>
      <c r="I7" s="1768"/>
      <c r="J7" s="1770"/>
      <c r="K7" s="1770"/>
      <c r="L7" s="1770"/>
      <c r="M7" s="1785"/>
      <c r="N7" s="1787"/>
      <c r="O7" s="602" t="s">
        <v>26</v>
      </c>
      <c r="P7" s="603" t="s">
        <v>27</v>
      </c>
      <c r="Q7" s="1760"/>
      <c r="R7" s="1760"/>
      <c r="S7" s="1760"/>
      <c r="T7" s="1760"/>
      <c r="U7" s="604" t="s">
        <v>28</v>
      </c>
      <c r="V7" s="413" t="e">
        <f>+J39</f>
        <v>#N/A</v>
      </c>
      <c r="W7" s="402"/>
      <c r="AA7" s="86">
        <f>DATE(2018,1,1)</f>
        <v>43101</v>
      </c>
      <c r="AB7" s="78">
        <f>+H8</f>
        <v>25000</v>
      </c>
      <c r="AC7" s="78">
        <f>+I8</f>
        <v>0</v>
      </c>
      <c r="AD7" s="79">
        <f>ROUND((+AB7+AC7)*AD6,0)</f>
        <v>34000</v>
      </c>
      <c r="AE7" s="79">
        <f>ROUND((+AB7+AC7)*AE6,0)</f>
        <v>33000</v>
      </c>
      <c r="AF7" s="85">
        <f>+AD7-AE7</f>
        <v>1000</v>
      </c>
      <c r="AG7" s="107"/>
      <c r="AH7" s="107"/>
      <c r="AI7" s="124">
        <f t="shared" si="0"/>
        <v>30706</v>
      </c>
      <c r="AJ7" s="107"/>
      <c r="AK7" s="125"/>
      <c r="AL7" s="126">
        <f>+AL6</f>
        <v>29850</v>
      </c>
      <c r="AM7" s="125"/>
      <c r="AN7" s="127"/>
      <c r="AO7" s="107"/>
      <c r="AP7" s="128" t="s">
        <v>8</v>
      </c>
      <c r="AQ7" s="129">
        <f>+AQ6</f>
        <v>250000</v>
      </c>
      <c r="AR7" s="107"/>
      <c r="AS7" s="130" t="e">
        <f>+AW22</f>
        <v>#N/A</v>
      </c>
      <c r="AT7" s="131" t="e">
        <f>+AS6-AS7</f>
        <v>#N/A</v>
      </c>
      <c r="AU7" s="132"/>
      <c r="AV7" s="107"/>
      <c r="AW7" s="107" t="s">
        <v>8</v>
      </c>
      <c r="AX7" s="133" t="s">
        <v>238</v>
      </c>
      <c r="AY7" s="134"/>
      <c r="AZ7" s="107"/>
      <c r="BA7" s="107"/>
      <c r="BB7" s="378">
        <v>5299</v>
      </c>
      <c r="BC7" s="378">
        <v>500</v>
      </c>
      <c r="BD7" s="378"/>
      <c r="BE7" s="378">
        <v>8000</v>
      </c>
      <c r="BF7" s="378">
        <v>180</v>
      </c>
      <c r="BG7" s="107"/>
      <c r="BH7" s="135" t="e">
        <f>IF(BH6&gt;500001,500000,IF(BH6&lt;500000,BH6,0))</f>
        <v>#N/A</v>
      </c>
      <c r="BI7" s="136"/>
      <c r="BR7" s="905">
        <v>13601</v>
      </c>
      <c r="BS7" s="905">
        <v>1500</v>
      </c>
      <c r="BU7" s="907">
        <v>20600</v>
      </c>
      <c r="BV7" s="907">
        <v>360</v>
      </c>
    </row>
    <row r="8" spans="1:74" ht="18.75" thickBot="1">
      <c r="A8" s="16" t="s">
        <v>25</v>
      </c>
      <c r="B8" s="571">
        <f>+'IT-STATEMENT-2021-2022 OLD'!C8</f>
        <v>4</v>
      </c>
      <c r="C8" s="44"/>
      <c r="F8" s="41">
        <v>0.07</v>
      </c>
      <c r="G8" s="605">
        <f>+'IT-STATEMENT-2021-2022 OLD'!H8</f>
        <v>44256</v>
      </c>
      <c r="H8" s="606">
        <f>+B5</f>
        <v>25000</v>
      </c>
      <c r="I8" s="607">
        <f>+A195</f>
        <v>0</v>
      </c>
      <c r="J8" s="608">
        <f>ROUND((+H8+I8)*F8,0)</f>
        <v>1750</v>
      </c>
      <c r="K8" s="609">
        <f>BO8</f>
        <v>2600</v>
      </c>
      <c r="L8" s="609">
        <f>BP8</f>
        <v>500</v>
      </c>
      <c r="M8" s="610">
        <v>0</v>
      </c>
      <c r="N8" s="611">
        <f aca="true" t="shared" si="1" ref="N8:N19">SUM(H8:M8)</f>
        <v>29850</v>
      </c>
      <c r="O8" s="612">
        <f>+'IT-STATEMENT-2021-2022 OLD'!P8</f>
        <v>0</v>
      </c>
      <c r="P8" s="613">
        <f>+'IT-STATEMENT-2021-2022 OLD'!Q8</f>
        <v>200</v>
      </c>
      <c r="Q8" s="614">
        <f>+'IT-STATEMENT-2021-2022 OLD'!R8</f>
        <v>0</v>
      </c>
      <c r="R8" s="614">
        <f>+'IT-STATEMENT-2021-2022 OLD'!S8</f>
        <v>0</v>
      </c>
      <c r="S8" s="614">
        <f>+'IT-STATEMENT-2021-2022 OLD'!T8</f>
        <v>0</v>
      </c>
      <c r="T8" s="614"/>
      <c r="U8" s="615">
        <f>+'IT-STATEMENT-2021-2022 OLD'!V8</f>
        <v>0</v>
      </c>
      <c r="V8" s="616" t="e">
        <f>+V7-U8</f>
        <v>#N/A</v>
      </c>
      <c r="W8" s="403">
        <v>3</v>
      </c>
      <c r="Y8" s="6">
        <f>+U8</f>
        <v>0</v>
      </c>
      <c r="AA8" s="86">
        <f>DATE(2018,2,1)</f>
        <v>43132</v>
      </c>
      <c r="AB8" s="78">
        <f>+AB7</f>
        <v>25000</v>
      </c>
      <c r="AC8" s="78">
        <f>+I9</f>
        <v>0</v>
      </c>
      <c r="AD8" s="79">
        <f>ROUND((+AB8+AC8)*AD6,0)</f>
        <v>34000</v>
      </c>
      <c r="AE8" s="79">
        <f>ROUND((+AB8+AC8)*AE6,0)</f>
        <v>33000</v>
      </c>
      <c r="AF8" s="85">
        <f>+AD8-AE8</f>
        <v>1000</v>
      </c>
      <c r="AG8" s="107"/>
      <c r="AH8" s="107"/>
      <c r="AI8" s="124">
        <f t="shared" si="0"/>
        <v>30706</v>
      </c>
      <c r="AJ8" s="107"/>
      <c r="AK8" s="107"/>
      <c r="AL8" s="170">
        <f>+N9+N10+N11+N12</f>
        <v>122824</v>
      </c>
      <c r="AM8" s="107"/>
      <c r="AN8" s="136"/>
      <c r="AO8" s="107"/>
      <c r="AP8" s="107"/>
      <c r="AQ8" s="107"/>
      <c r="AR8" s="107"/>
      <c r="AS8" s="130"/>
      <c r="AT8" s="131" t="e">
        <f>+AW23</f>
        <v>#N/A</v>
      </c>
      <c r="AU8" s="132" t="e">
        <f>+AT7-AT8</f>
        <v>#N/A</v>
      </c>
      <c r="AV8" s="107"/>
      <c r="AW8" s="107"/>
      <c r="AX8" s="134"/>
      <c r="AY8" s="134"/>
      <c r="AZ8" s="107"/>
      <c r="BA8" s="107"/>
      <c r="BB8" s="378">
        <v>5300</v>
      </c>
      <c r="BC8" s="378">
        <v>560</v>
      </c>
      <c r="BD8" s="378"/>
      <c r="BE8" s="378">
        <v>8001</v>
      </c>
      <c r="BF8" s="378">
        <v>250</v>
      </c>
      <c r="BG8" s="107"/>
      <c r="BH8" s="107"/>
      <c r="BI8" s="136"/>
      <c r="BL8">
        <f>H8</f>
        <v>25000</v>
      </c>
      <c r="BM8">
        <f>I8</f>
        <v>0</v>
      </c>
      <c r="BN8">
        <f>BL8+BM8</f>
        <v>25000</v>
      </c>
      <c r="BO8">
        <f>VLOOKUP(+BN8,BR$6:BS$23,2)</f>
        <v>2600</v>
      </c>
      <c r="BP8">
        <f>VLOOKUP(+BN8,BU$6:BV$10,2)</f>
        <v>500</v>
      </c>
      <c r="BR8" s="905">
        <v>17201</v>
      </c>
      <c r="BS8" s="905">
        <v>1800</v>
      </c>
      <c r="BU8" s="907">
        <v>20601</v>
      </c>
      <c r="BV8" s="907">
        <v>500</v>
      </c>
    </row>
    <row r="9" spans="1:74" ht="16.5" thickBot="1">
      <c r="A9" s="19" t="s">
        <v>382</v>
      </c>
      <c r="B9" s="43">
        <f>+B5+B7</f>
        <v>25800</v>
      </c>
      <c r="C9" s="98"/>
      <c r="F9" s="909">
        <v>0.07</v>
      </c>
      <c r="G9" s="605">
        <f>+'IT-STATEMENT-2021-2022 OLD'!H9</f>
        <v>44287</v>
      </c>
      <c r="H9" s="617">
        <f>IF($B$8&lt;4,$H$8,IF($B$8=4,$H$8+$B$7,IF($B$8&gt;4,$H$8)))</f>
        <v>25800</v>
      </c>
      <c r="I9" s="618">
        <f>+I8</f>
        <v>0</v>
      </c>
      <c r="J9" s="619">
        <f>ROUND((H9+I9)*F9,0)</f>
        <v>1806</v>
      </c>
      <c r="K9" s="618">
        <f aca="true" t="shared" si="2" ref="K9:L19">BO9</f>
        <v>2600</v>
      </c>
      <c r="L9" s="618">
        <f t="shared" si="2"/>
        <v>500</v>
      </c>
      <c r="M9" s="620">
        <f>+M8</f>
        <v>0</v>
      </c>
      <c r="N9" s="621">
        <f t="shared" si="1"/>
        <v>30706</v>
      </c>
      <c r="O9" s="612">
        <f>+'IT-STATEMENT-2021-2022 OLD'!P9</f>
        <v>0</v>
      </c>
      <c r="P9" s="613">
        <f>+'IT-STATEMENT-2021-2022 OLD'!Q9</f>
        <v>200</v>
      </c>
      <c r="Q9" s="614">
        <f>+'IT-STATEMENT-2021-2022 OLD'!R9</f>
        <v>0</v>
      </c>
      <c r="R9" s="614">
        <f>+'IT-STATEMENT-2021-2022 OLD'!S9</f>
        <v>0</v>
      </c>
      <c r="S9" s="614">
        <f>+'IT-STATEMENT-2021-2022 OLD'!T9</f>
        <v>0</v>
      </c>
      <c r="T9" s="618"/>
      <c r="U9" s="615">
        <f>+'IT-STATEMENT-2021-2022 OLD'!V9</f>
        <v>0</v>
      </c>
      <c r="V9" s="622" t="e">
        <f>+V8-U9</f>
        <v>#N/A</v>
      </c>
      <c r="W9" s="404">
        <f>+W8+1</f>
        <v>4</v>
      </c>
      <c r="Y9" s="6">
        <f aca="true" t="shared" si="3" ref="Y9:Y18">+U9</f>
        <v>0</v>
      </c>
      <c r="AA9" s="86">
        <f>DATE(2018,3,1)</f>
        <v>43160</v>
      </c>
      <c r="AB9" s="78">
        <f>+H8</f>
        <v>25000</v>
      </c>
      <c r="AC9" s="78">
        <f>+I8</f>
        <v>0</v>
      </c>
      <c r="AD9" s="79">
        <f>ROUND((+AB9+AC9)*AD6,0)</f>
        <v>34000</v>
      </c>
      <c r="AE9" s="79">
        <f>ROUND((+AB9+AC9)*AE6,0)</f>
        <v>33000</v>
      </c>
      <c r="AF9" s="85">
        <f>+AD9-AE9</f>
        <v>1000</v>
      </c>
      <c r="AG9" s="107"/>
      <c r="AH9" s="107"/>
      <c r="AI9" s="124">
        <f t="shared" si="0"/>
        <v>30706</v>
      </c>
      <c r="AJ9" s="107"/>
      <c r="AK9" s="107"/>
      <c r="AL9" s="244">
        <f>SUM(AL6:AL8)</f>
        <v>182524</v>
      </c>
      <c r="AM9" s="107"/>
      <c r="AN9" s="127">
        <f>+AN6</f>
        <v>1095</v>
      </c>
      <c r="AO9" s="107"/>
      <c r="AP9" s="107"/>
      <c r="AQ9" s="107"/>
      <c r="AR9" s="107"/>
      <c r="AS9" s="137"/>
      <c r="AT9" s="138"/>
      <c r="AU9" s="139" t="e">
        <f>+AS7+AT8+AU8</f>
        <v>#N/A</v>
      </c>
      <c r="AV9" s="107"/>
      <c r="AW9" s="107" t="s">
        <v>6</v>
      </c>
      <c r="AX9" s="133" t="s">
        <v>287</v>
      </c>
      <c r="AY9" s="134"/>
      <c r="AZ9" s="107"/>
      <c r="BA9" s="107"/>
      <c r="BB9" s="378">
        <v>6700</v>
      </c>
      <c r="BC9" s="378">
        <v>680</v>
      </c>
      <c r="BD9" s="378"/>
      <c r="BE9" s="378">
        <v>12001</v>
      </c>
      <c r="BF9" s="378">
        <v>400</v>
      </c>
      <c r="BG9" s="107"/>
      <c r="BH9" s="107"/>
      <c r="BI9" s="136"/>
      <c r="BL9">
        <f aca="true" t="shared" si="4" ref="BL9:BM19">H9</f>
        <v>25800</v>
      </c>
      <c r="BM9">
        <f t="shared" si="4"/>
        <v>0</v>
      </c>
      <c r="BN9">
        <f aca="true" t="shared" si="5" ref="BN9:BN19">BL9+BM9</f>
        <v>25800</v>
      </c>
      <c r="BO9">
        <f aca="true" t="shared" si="6" ref="BO9:BO19">VLOOKUP(+BN9,BR$6:BS$23,2)</f>
        <v>2600</v>
      </c>
      <c r="BP9">
        <f aca="true" t="shared" si="7" ref="BP9:BP19">VLOOKUP(+BN9,BU$6:BV$10,2)</f>
        <v>500</v>
      </c>
      <c r="BR9" s="905">
        <v>21001</v>
      </c>
      <c r="BS9" s="905">
        <v>2100</v>
      </c>
      <c r="BU9" s="907">
        <v>30801</v>
      </c>
      <c r="BV9" s="907">
        <v>800</v>
      </c>
    </row>
    <row r="10" spans="1:74" ht="17.25" thickBot="1">
      <c r="A10" s="1724" t="s">
        <v>232</v>
      </c>
      <c r="B10" s="623" t="s">
        <v>233</v>
      </c>
      <c r="F10" s="42">
        <v>0.07</v>
      </c>
      <c r="G10" s="605">
        <f>+'IT-STATEMENT-2021-2022 OLD'!H10</f>
        <v>44317</v>
      </c>
      <c r="H10" s="624">
        <f>+H9</f>
        <v>25800</v>
      </c>
      <c r="I10" s="618">
        <f aca="true" t="shared" si="8" ref="I10:I19">+I9</f>
        <v>0</v>
      </c>
      <c r="J10" s="619">
        <f aca="true" t="shared" si="9" ref="J10:J19">ROUND((H10+I10)*F10,0)</f>
        <v>1806</v>
      </c>
      <c r="K10" s="618">
        <f t="shared" si="2"/>
        <v>2600</v>
      </c>
      <c r="L10" s="618">
        <f t="shared" si="2"/>
        <v>500</v>
      </c>
      <c r="M10" s="620">
        <f aca="true" t="shared" si="10" ref="M10:M19">+M9</f>
        <v>0</v>
      </c>
      <c r="N10" s="621">
        <f t="shared" si="1"/>
        <v>30706</v>
      </c>
      <c r="O10" s="612">
        <f>+'IT-STATEMENT-2021-2022 OLD'!P10</f>
        <v>0</v>
      </c>
      <c r="P10" s="613">
        <f>+'IT-STATEMENT-2021-2022 OLD'!Q10</f>
        <v>200</v>
      </c>
      <c r="Q10" s="614">
        <f>+'IT-STATEMENT-2021-2022 OLD'!R10</f>
        <v>0</v>
      </c>
      <c r="R10" s="614">
        <f>+'IT-STATEMENT-2021-2022 OLD'!S10</f>
        <v>0</v>
      </c>
      <c r="S10" s="614">
        <f>+'IT-STATEMENT-2021-2022 OLD'!T10</f>
        <v>0</v>
      </c>
      <c r="T10" s="618"/>
      <c r="U10" s="615">
        <f>+'IT-STATEMENT-2021-2022 OLD'!V10</f>
        <v>0</v>
      </c>
      <c r="V10" s="622" t="e">
        <f aca="true" t="shared" si="11" ref="V10:V19">+V9-U10</f>
        <v>#N/A</v>
      </c>
      <c r="W10" s="404">
        <f aca="true" t="shared" si="12" ref="W10:W19">+W9+1</f>
        <v>5</v>
      </c>
      <c r="Y10" s="6">
        <f t="shared" si="3"/>
        <v>0</v>
      </c>
      <c r="AA10" s="86">
        <f>DATE(2018,4,1)</f>
        <v>43191</v>
      </c>
      <c r="AB10" s="78">
        <f>+H9</f>
        <v>25800</v>
      </c>
      <c r="AC10" s="78">
        <f>+I9</f>
        <v>0</v>
      </c>
      <c r="AD10" s="79">
        <f>ROUND((+AB10+AC10)*AD6,0)</f>
        <v>35088</v>
      </c>
      <c r="AE10" s="79">
        <f>ROUND((+AB10+AC10)*AE6,0)</f>
        <v>34056</v>
      </c>
      <c r="AF10" s="85"/>
      <c r="AG10" s="107"/>
      <c r="AH10" s="107"/>
      <c r="AI10" s="124">
        <f t="shared" si="0"/>
        <v>30706</v>
      </c>
      <c r="AJ10" s="107"/>
      <c r="AK10" s="107"/>
      <c r="AL10" s="107"/>
      <c r="AM10" s="107"/>
      <c r="AN10" s="140">
        <f>+AN8+AN9</f>
        <v>1095</v>
      </c>
      <c r="AO10" s="107"/>
      <c r="AP10" s="107"/>
      <c r="AQ10" s="107"/>
      <c r="AR10" s="107"/>
      <c r="AS10" s="107"/>
      <c r="AT10" s="107"/>
      <c r="AU10" s="107"/>
      <c r="AV10" s="107"/>
      <c r="AW10" s="107" t="s">
        <v>8</v>
      </c>
      <c r="AX10" s="133" t="s">
        <v>287</v>
      </c>
      <c r="AY10" s="134"/>
      <c r="AZ10" s="107"/>
      <c r="BA10" s="107"/>
      <c r="BB10" s="378">
        <v>8190</v>
      </c>
      <c r="BC10" s="378">
        <v>800</v>
      </c>
      <c r="BD10" s="378"/>
      <c r="BE10" s="379">
        <v>16001</v>
      </c>
      <c r="BF10" s="379">
        <v>600</v>
      </c>
      <c r="BG10" s="107"/>
      <c r="BH10" s="107"/>
      <c r="BI10" s="136"/>
      <c r="BL10">
        <f t="shared" si="4"/>
        <v>25800</v>
      </c>
      <c r="BM10">
        <f t="shared" si="4"/>
        <v>0</v>
      </c>
      <c r="BN10">
        <f t="shared" si="5"/>
        <v>25800</v>
      </c>
      <c r="BO10">
        <f t="shared" si="6"/>
        <v>2600</v>
      </c>
      <c r="BP10">
        <f t="shared" si="7"/>
        <v>500</v>
      </c>
      <c r="BR10" s="905">
        <v>23901</v>
      </c>
      <c r="BS10" s="905">
        <v>2600</v>
      </c>
      <c r="BU10" s="908">
        <v>41101</v>
      </c>
      <c r="BV10" s="908">
        <v>1200</v>
      </c>
    </row>
    <row r="11" spans="1:71" ht="17.25" customHeight="1" thickBot="1">
      <c r="A11" s="1725"/>
      <c r="B11" s="571" t="str">
        <f>+'IT-STATEMENT-2021-2022 OLD'!C11</f>
        <v>Y</v>
      </c>
      <c r="F11" s="42">
        <f aca="true" t="shared" si="13" ref="F11:F19">+F10</f>
        <v>0.07</v>
      </c>
      <c r="G11" s="605">
        <f>+'IT-STATEMENT-2021-2022 OLD'!H11</f>
        <v>44348</v>
      </c>
      <c r="H11" s="624">
        <f>+H10</f>
        <v>25800</v>
      </c>
      <c r="I11" s="618">
        <f t="shared" si="8"/>
        <v>0</v>
      </c>
      <c r="J11" s="619">
        <f t="shared" si="9"/>
        <v>1806</v>
      </c>
      <c r="K11" s="618">
        <f t="shared" si="2"/>
        <v>2600</v>
      </c>
      <c r="L11" s="618">
        <f t="shared" si="2"/>
        <v>500</v>
      </c>
      <c r="M11" s="620">
        <f t="shared" si="10"/>
        <v>0</v>
      </c>
      <c r="N11" s="621">
        <f t="shared" si="1"/>
        <v>30706</v>
      </c>
      <c r="O11" s="612">
        <f>+'IT-STATEMENT-2021-2022 OLD'!P11</f>
        <v>0</v>
      </c>
      <c r="P11" s="613">
        <f>+'IT-STATEMENT-2021-2022 OLD'!Q11</f>
        <v>200</v>
      </c>
      <c r="Q11" s="614">
        <f>+'IT-STATEMENT-2021-2022 OLD'!R11</f>
        <v>0</v>
      </c>
      <c r="R11" s="614">
        <f>+'IT-STATEMENT-2021-2022 OLD'!S11</f>
        <v>0</v>
      </c>
      <c r="S11" s="614">
        <f>+'IT-STATEMENT-2021-2022 OLD'!T11</f>
        <v>0</v>
      </c>
      <c r="T11" s="618"/>
      <c r="U11" s="615">
        <f>+'IT-STATEMENT-2021-2022 OLD'!V11</f>
        <v>0</v>
      </c>
      <c r="V11" s="622" t="e">
        <f t="shared" si="11"/>
        <v>#N/A</v>
      </c>
      <c r="W11" s="404">
        <f t="shared" si="12"/>
        <v>6</v>
      </c>
      <c r="Y11" s="6">
        <f t="shared" si="3"/>
        <v>0</v>
      </c>
      <c r="AA11" s="87" t="s">
        <v>29</v>
      </c>
      <c r="AB11" s="141">
        <f>+G22</f>
        <v>43497</v>
      </c>
      <c r="AC11" s="636">
        <f>IF($B$16=0," ",DATE(2018,$B$16,1))</f>
        <v>43101</v>
      </c>
      <c r="AD11" s="57"/>
      <c r="AF11" s="85">
        <f>+AE16</f>
        <v>500</v>
      </c>
      <c r="AG11" s="107"/>
      <c r="AH11" s="107"/>
      <c r="AI11" s="124">
        <f t="shared" si="0"/>
        <v>30706</v>
      </c>
      <c r="AJ11" s="107"/>
      <c r="AK11" s="107"/>
      <c r="AL11" s="107"/>
      <c r="AM11" s="107"/>
      <c r="AN11" s="136"/>
      <c r="AO11" s="107"/>
      <c r="AP11" s="107"/>
      <c r="AQ11" s="107"/>
      <c r="AR11" s="107"/>
      <c r="AS11" s="107"/>
      <c r="AT11" s="107"/>
      <c r="AU11" s="142" t="e">
        <f>+AS7+AT8</f>
        <v>#N/A</v>
      </c>
      <c r="AV11" s="107"/>
      <c r="AW11" s="107"/>
      <c r="AX11" s="134"/>
      <c r="AY11" s="134"/>
      <c r="AZ11" s="107"/>
      <c r="BA11" s="107"/>
      <c r="BB11" s="378">
        <v>9300</v>
      </c>
      <c r="BC11" s="378">
        <v>1000</v>
      </c>
      <c r="BD11" s="378"/>
      <c r="BE11" s="378"/>
      <c r="BF11" s="378"/>
      <c r="BG11" s="107"/>
      <c r="BH11" s="107"/>
      <c r="BI11" s="136"/>
      <c r="BL11">
        <f t="shared" si="4"/>
        <v>25800</v>
      </c>
      <c r="BM11">
        <f t="shared" si="4"/>
        <v>0</v>
      </c>
      <c r="BN11">
        <f t="shared" si="5"/>
        <v>25800</v>
      </c>
      <c r="BO11">
        <f t="shared" si="6"/>
        <v>2600</v>
      </c>
      <c r="BP11">
        <f t="shared" si="7"/>
        <v>500</v>
      </c>
      <c r="BR11" s="905">
        <v>27201</v>
      </c>
      <c r="BS11" s="905">
        <v>3100</v>
      </c>
    </row>
    <row r="12" spans="1:71" ht="15.75" thickBot="1">
      <c r="A12" s="626" t="s">
        <v>312</v>
      </c>
      <c r="B12" s="627" t="str">
        <f>+'IT-STATEMENT-2021-2022 OLD'!C20</f>
        <v>Y</v>
      </c>
      <c r="F12" s="42">
        <f t="shared" si="13"/>
        <v>0.07</v>
      </c>
      <c r="G12" s="605">
        <f>+'IT-STATEMENT-2021-2022 OLD'!H12</f>
        <v>44378</v>
      </c>
      <c r="H12" s="617">
        <f>IF($B$8&lt;7,$H$11,IF($B$8=7,$H$11+$B$7,IF($B$8&gt;7,$H$11)))</f>
        <v>25800</v>
      </c>
      <c r="I12" s="618">
        <f t="shared" si="8"/>
        <v>0</v>
      </c>
      <c r="J12" s="619">
        <f t="shared" si="9"/>
        <v>1806</v>
      </c>
      <c r="K12" s="618">
        <f t="shared" si="2"/>
        <v>2600</v>
      </c>
      <c r="L12" s="618">
        <f t="shared" si="2"/>
        <v>500</v>
      </c>
      <c r="M12" s="620">
        <f t="shared" si="10"/>
        <v>0</v>
      </c>
      <c r="N12" s="621">
        <f t="shared" si="1"/>
        <v>30706</v>
      </c>
      <c r="O12" s="612">
        <f>+'IT-STATEMENT-2021-2022 OLD'!P12</f>
        <v>0</v>
      </c>
      <c r="P12" s="613">
        <f>+'IT-STATEMENT-2021-2022 OLD'!Q12</f>
        <v>200</v>
      </c>
      <c r="Q12" s="614">
        <f>+'IT-STATEMENT-2021-2022 OLD'!R12</f>
        <v>0</v>
      </c>
      <c r="R12" s="614">
        <f>+'IT-STATEMENT-2021-2022 OLD'!S12</f>
        <v>0</v>
      </c>
      <c r="S12" s="614">
        <f>+'IT-STATEMENT-2021-2022 OLD'!T12</f>
        <v>0</v>
      </c>
      <c r="T12" s="618"/>
      <c r="U12" s="615">
        <f>+'IT-STATEMENT-2021-2022 OLD'!V12</f>
        <v>0</v>
      </c>
      <c r="V12" s="622" t="e">
        <f t="shared" si="11"/>
        <v>#N/A</v>
      </c>
      <c r="W12" s="404">
        <f t="shared" si="12"/>
        <v>7</v>
      </c>
      <c r="Y12" s="6">
        <f t="shared" si="3"/>
        <v>0</v>
      </c>
      <c r="AA12" s="1720" t="s">
        <v>67</v>
      </c>
      <c r="AB12" s="1721"/>
      <c r="AC12" s="89"/>
      <c r="AD12" s="89"/>
      <c r="AE12" s="89"/>
      <c r="AF12" s="93">
        <f>SUM(AF7:AF11)</f>
        <v>3500</v>
      </c>
      <c r="AG12" s="107"/>
      <c r="AH12" s="107"/>
      <c r="AI12" s="244">
        <f>SUM(AI6:AI11)</f>
        <v>184236</v>
      </c>
      <c r="AJ12" s="138"/>
      <c r="AK12" s="143" t="s">
        <v>4</v>
      </c>
      <c r="AL12" s="144">
        <f>+N14</f>
        <v>30706</v>
      </c>
      <c r="AM12" s="144">
        <f>+AI12</f>
        <v>184236</v>
      </c>
      <c r="AN12" s="127">
        <f>IF(AM12&lt;21000,0,IF(AM12&lt;30000,100,IF(AM12&lt;45000,235,IF(AM12&lt;60000,510,IF(AM12&lt;75000,760,1095)))))</f>
        <v>1095</v>
      </c>
      <c r="AO12" s="107"/>
      <c r="AP12" s="107"/>
      <c r="AQ12" s="107"/>
      <c r="AR12" s="107"/>
      <c r="AS12" s="107"/>
      <c r="AT12" s="107"/>
      <c r="AU12" s="107"/>
      <c r="AV12" s="107"/>
      <c r="AW12" s="107" t="s">
        <v>6</v>
      </c>
      <c r="AX12" s="145" t="e">
        <f>IF(AX21&gt;250000,250000,IF(AND(AX21&lt;250001),AX21,0))</f>
        <v>#N/A</v>
      </c>
      <c r="AY12" s="134"/>
      <c r="AZ12" s="107">
        <v>500000</v>
      </c>
      <c r="BA12" s="107"/>
      <c r="BB12" s="378">
        <v>10600</v>
      </c>
      <c r="BC12" s="378">
        <v>1200</v>
      </c>
      <c r="BD12" s="378"/>
      <c r="BE12" s="378"/>
      <c r="BF12" s="378"/>
      <c r="BG12" s="107"/>
      <c r="BH12" s="107"/>
      <c r="BI12" s="136"/>
      <c r="BL12">
        <f t="shared" si="4"/>
        <v>25800</v>
      </c>
      <c r="BM12">
        <f t="shared" si="4"/>
        <v>0</v>
      </c>
      <c r="BN12">
        <f t="shared" si="5"/>
        <v>25800</v>
      </c>
      <c r="BO12">
        <f t="shared" si="6"/>
        <v>2600</v>
      </c>
      <c r="BP12">
        <f t="shared" si="7"/>
        <v>500</v>
      </c>
      <c r="BR12" s="905">
        <v>30601</v>
      </c>
      <c r="BS12" s="905">
        <v>3600</v>
      </c>
    </row>
    <row r="13" spans="1:71" ht="15.75" thickBot="1">
      <c r="A13" s="103" t="s">
        <v>286</v>
      </c>
      <c r="B13" s="627"/>
      <c r="F13" s="42">
        <f t="shared" si="13"/>
        <v>0.07</v>
      </c>
      <c r="G13" s="605">
        <f>+'IT-STATEMENT-2021-2022 OLD'!H13</f>
        <v>44409</v>
      </c>
      <c r="H13" s="624">
        <f aca="true" t="shared" si="14" ref="H13:H19">+H12</f>
        <v>25800</v>
      </c>
      <c r="I13" s="618">
        <f t="shared" si="8"/>
        <v>0</v>
      </c>
      <c r="J13" s="619">
        <f t="shared" si="9"/>
        <v>1806</v>
      </c>
      <c r="K13" s="618">
        <f t="shared" si="2"/>
        <v>2600</v>
      </c>
      <c r="L13" s="618">
        <f t="shared" si="2"/>
        <v>500</v>
      </c>
      <c r="M13" s="620">
        <f t="shared" si="10"/>
        <v>0</v>
      </c>
      <c r="N13" s="621">
        <f t="shared" si="1"/>
        <v>30706</v>
      </c>
      <c r="O13" s="612">
        <f>+'IT-STATEMENT-2021-2022 OLD'!P13</f>
        <v>0</v>
      </c>
      <c r="P13" s="613">
        <f>+'IT-STATEMENT-2021-2022 OLD'!Q13</f>
        <v>200</v>
      </c>
      <c r="Q13" s="614">
        <f>+'IT-STATEMENT-2021-2022 OLD'!R13</f>
        <v>0</v>
      </c>
      <c r="R13" s="614">
        <f>+'IT-STATEMENT-2021-2022 OLD'!S13</f>
        <v>0</v>
      </c>
      <c r="S13" s="614">
        <f>+'IT-STATEMENT-2021-2022 OLD'!T13</f>
        <v>0</v>
      </c>
      <c r="T13" s="618">
        <f>+AN10</f>
        <v>1095</v>
      </c>
      <c r="U13" s="615">
        <f>+'IT-STATEMENT-2021-2022 OLD'!V13</f>
        <v>0</v>
      </c>
      <c r="V13" s="622" t="e">
        <f t="shared" si="11"/>
        <v>#N/A</v>
      </c>
      <c r="W13" s="404">
        <f t="shared" si="12"/>
        <v>8</v>
      </c>
      <c r="Y13" s="6">
        <f t="shared" si="3"/>
        <v>0</v>
      </c>
      <c r="AA13" s="54"/>
      <c r="AB13" s="1"/>
      <c r="AC13" s="1"/>
      <c r="AD13" s="1"/>
      <c r="AE13" s="1"/>
      <c r="AF13" s="33"/>
      <c r="AG13" s="107"/>
      <c r="AH13" s="107"/>
      <c r="AI13" s="146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 t="s">
        <v>8</v>
      </c>
      <c r="AX13" s="145" t="e">
        <f>IF(AX21&gt;250000,250000,IF(AND(AX21&lt;250001),AX21,0))</f>
        <v>#N/A</v>
      </c>
      <c r="AY13" s="134"/>
      <c r="AZ13" s="107">
        <v>250000</v>
      </c>
      <c r="BA13" s="107"/>
      <c r="BB13" s="378">
        <v>11900</v>
      </c>
      <c r="BC13" s="378">
        <v>1400</v>
      </c>
      <c r="BD13" s="378"/>
      <c r="BE13" s="378"/>
      <c r="BF13" s="378"/>
      <c r="BG13" s="107"/>
      <c r="BH13" s="107"/>
      <c r="BI13" s="136"/>
      <c r="BL13">
        <f t="shared" si="4"/>
        <v>25800</v>
      </c>
      <c r="BM13">
        <f t="shared" si="4"/>
        <v>0</v>
      </c>
      <c r="BN13">
        <f t="shared" si="5"/>
        <v>25800</v>
      </c>
      <c r="BO13">
        <f t="shared" si="6"/>
        <v>2600</v>
      </c>
      <c r="BP13">
        <f t="shared" si="7"/>
        <v>500</v>
      </c>
      <c r="BR13" s="905">
        <v>35401</v>
      </c>
      <c r="BS13" s="905">
        <v>4200</v>
      </c>
    </row>
    <row r="14" spans="1:71" ht="15.75" thickBot="1">
      <c r="A14" s="15"/>
      <c r="B14" s="627"/>
      <c r="F14" s="42">
        <f t="shared" si="13"/>
        <v>0.07</v>
      </c>
      <c r="G14" s="605">
        <f>+'IT-STATEMENT-2021-2022 OLD'!H14</f>
        <v>44440</v>
      </c>
      <c r="H14" s="624">
        <f t="shared" si="14"/>
        <v>25800</v>
      </c>
      <c r="I14" s="618">
        <f t="shared" si="8"/>
        <v>0</v>
      </c>
      <c r="J14" s="619">
        <f t="shared" si="9"/>
        <v>1806</v>
      </c>
      <c r="K14" s="618">
        <f t="shared" si="2"/>
        <v>2600</v>
      </c>
      <c r="L14" s="618">
        <f t="shared" si="2"/>
        <v>500</v>
      </c>
      <c r="M14" s="620">
        <f t="shared" si="10"/>
        <v>0</v>
      </c>
      <c r="N14" s="621">
        <f t="shared" si="1"/>
        <v>30706</v>
      </c>
      <c r="O14" s="612">
        <f>+'IT-STATEMENT-2021-2022 OLD'!P14</f>
        <v>0</v>
      </c>
      <c r="P14" s="613">
        <f>+'IT-STATEMENT-2021-2022 OLD'!Q14</f>
        <v>200</v>
      </c>
      <c r="Q14" s="614">
        <f>+'IT-STATEMENT-2021-2022 OLD'!R14</f>
        <v>0</v>
      </c>
      <c r="R14" s="614">
        <f>+'IT-STATEMENT-2021-2022 OLD'!S14</f>
        <v>0</v>
      </c>
      <c r="S14" s="614">
        <f>+'IT-STATEMENT-2021-2022 OLD'!T14</f>
        <v>0</v>
      </c>
      <c r="T14" s="618"/>
      <c r="U14" s="615">
        <f>+'IT-STATEMENT-2021-2022 OLD'!V14</f>
        <v>0</v>
      </c>
      <c r="V14" s="622" t="e">
        <f t="shared" si="11"/>
        <v>#N/A</v>
      </c>
      <c r="W14" s="404">
        <f t="shared" si="12"/>
        <v>9</v>
      </c>
      <c r="X14" s="10"/>
      <c r="Y14" s="6">
        <f t="shared" si="3"/>
        <v>0</v>
      </c>
      <c r="AA14" s="90"/>
      <c r="AB14" s="91"/>
      <c r="AC14" s="237"/>
      <c r="AD14" s="237"/>
      <c r="AE14" s="237"/>
      <c r="AF14" s="92"/>
      <c r="AG14" s="107"/>
      <c r="AH14" s="107"/>
      <c r="AI14" s="146"/>
      <c r="AJ14" s="25">
        <f>IF($B$14=0,0,VLOOKUP($G$21,$G$8:$L$17,2)/$B$14)</f>
        <v>0</v>
      </c>
      <c r="AK14" s="107"/>
      <c r="AL14" s="243" t="e">
        <f>IF($B$17=0,0,VLOOKUP($G$22,$G$18:$L$19,2)/$B$17)</f>
        <v>#N/A</v>
      </c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>
        <f>+AZ12-AZ13</f>
        <v>250000</v>
      </c>
      <c r="BA14" s="107"/>
      <c r="BB14" s="378">
        <v>13770</v>
      </c>
      <c r="BC14" s="378">
        <v>1600</v>
      </c>
      <c r="BD14" s="378"/>
      <c r="BE14" s="378"/>
      <c r="BF14" s="378"/>
      <c r="BG14" s="107"/>
      <c r="BH14" s="107"/>
      <c r="BI14" s="136"/>
      <c r="BL14">
        <f t="shared" si="4"/>
        <v>25800</v>
      </c>
      <c r="BM14">
        <f t="shared" si="4"/>
        <v>0</v>
      </c>
      <c r="BN14">
        <f t="shared" si="5"/>
        <v>25800</v>
      </c>
      <c r="BO14">
        <f t="shared" si="6"/>
        <v>2600</v>
      </c>
      <c r="BP14">
        <f t="shared" si="7"/>
        <v>500</v>
      </c>
      <c r="BR14" s="905">
        <v>37301</v>
      </c>
      <c r="BS14" s="905">
        <v>4700</v>
      </c>
    </row>
    <row r="15" spans="1:71" ht="16.5" thickBot="1">
      <c r="A15" s="15"/>
      <c r="B15" s="21"/>
      <c r="F15" s="909">
        <f>+F14</f>
        <v>0.07</v>
      </c>
      <c r="G15" s="605">
        <f>+'IT-STATEMENT-2021-2022 OLD'!H15</f>
        <v>44470</v>
      </c>
      <c r="H15" s="617">
        <f>IF($B$8&lt;10,$H$14,IF($B$8=10,$H$14+$B$7,IF($B$8&gt;10,$H$14)))</f>
        <v>25800</v>
      </c>
      <c r="I15" s="618">
        <f t="shared" si="8"/>
        <v>0</v>
      </c>
      <c r="J15" s="619">
        <f t="shared" si="9"/>
        <v>1806</v>
      </c>
      <c r="K15" s="618">
        <f t="shared" si="2"/>
        <v>2600</v>
      </c>
      <c r="L15" s="618">
        <f t="shared" si="2"/>
        <v>500</v>
      </c>
      <c r="M15" s="620">
        <f t="shared" si="10"/>
        <v>0</v>
      </c>
      <c r="N15" s="621">
        <f t="shared" si="1"/>
        <v>30706</v>
      </c>
      <c r="O15" s="612">
        <f>+'IT-STATEMENT-2021-2022 OLD'!P15</f>
        <v>0</v>
      </c>
      <c r="P15" s="613">
        <f>+'IT-STATEMENT-2021-2022 OLD'!Q15</f>
        <v>200</v>
      </c>
      <c r="Q15" s="614">
        <f>+'IT-STATEMENT-2021-2022 OLD'!R15</f>
        <v>0</v>
      </c>
      <c r="R15" s="614">
        <f>+'IT-STATEMENT-2021-2022 OLD'!S15</f>
        <v>0</v>
      </c>
      <c r="S15" s="614">
        <f>+'IT-STATEMENT-2021-2022 OLD'!T15</f>
        <v>0</v>
      </c>
      <c r="T15" s="618"/>
      <c r="U15" s="615">
        <f>+'IT-STATEMENT-2021-2022 OLD'!V15</f>
        <v>0</v>
      </c>
      <c r="V15" s="622" t="e">
        <f t="shared" si="11"/>
        <v>#N/A</v>
      </c>
      <c r="W15" s="404">
        <f t="shared" si="12"/>
        <v>10</v>
      </c>
      <c r="Y15" s="6">
        <f t="shared" si="3"/>
        <v>0</v>
      </c>
      <c r="AA15" s="234"/>
      <c r="AB15" s="236"/>
      <c r="AC15" s="238"/>
      <c r="AD15" s="238"/>
      <c r="AE15" s="239"/>
      <c r="AF15" s="147"/>
      <c r="AG15" s="107"/>
      <c r="AH15" s="107"/>
      <c r="AI15" s="146"/>
      <c r="AJ15" s="25">
        <f>IF($B$14=0,0,VLOOKUP($G$21,$G$8:$L$17,3)/$B$14)</f>
        <v>0</v>
      </c>
      <c r="AK15" s="107"/>
      <c r="AL15" s="25" t="e">
        <f>IF($B$17=0,0,VLOOKUP($G$22,$G$18:$L$19,3)/$B$17)</f>
        <v>#N/A</v>
      </c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378">
        <v>14510</v>
      </c>
      <c r="BC15" s="378">
        <v>1800</v>
      </c>
      <c r="BD15" s="378"/>
      <c r="BE15" s="378"/>
      <c r="BF15" s="378"/>
      <c r="BG15" s="107"/>
      <c r="BH15" s="107"/>
      <c r="BI15" s="136"/>
      <c r="BL15">
        <f t="shared" si="4"/>
        <v>25800</v>
      </c>
      <c r="BM15">
        <f t="shared" si="4"/>
        <v>0</v>
      </c>
      <c r="BN15">
        <f t="shared" si="5"/>
        <v>25800</v>
      </c>
      <c r="BO15">
        <f t="shared" si="6"/>
        <v>2600</v>
      </c>
      <c r="BP15">
        <f t="shared" si="7"/>
        <v>500</v>
      </c>
      <c r="BR15" s="905">
        <v>41101</v>
      </c>
      <c r="BS15" s="905">
        <v>5200</v>
      </c>
    </row>
    <row r="16" spans="1:71" ht="15.75">
      <c r="A16" s="103" t="s">
        <v>286</v>
      </c>
      <c r="B16" s="627">
        <v>1</v>
      </c>
      <c r="F16" s="42">
        <f t="shared" si="13"/>
        <v>0.07</v>
      </c>
      <c r="G16" s="605">
        <f>+'IT-STATEMENT-2021-2022 OLD'!H16</f>
        <v>44501</v>
      </c>
      <c r="H16" s="624">
        <f t="shared" si="14"/>
        <v>25800</v>
      </c>
      <c r="I16" s="618">
        <f t="shared" si="8"/>
        <v>0</v>
      </c>
      <c r="J16" s="619">
        <f t="shared" si="9"/>
        <v>1806</v>
      </c>
      <c r="K16" s="618">
        <f t="shared" si="2"/>
        <v>2600</v>
      </c>
      <c r="L16" s="618">
        <f t="shared" si="2"/>
        <v>500</v>
      </c>
      <c r="M16" s="620">
        <f t="shared" si="10"/>
        <v>0</v>
      </c>
      <c r="N16" s="621">
        <f t="shared" si="1"/>
        <v>30706</v>
      </c>
      <c r="O16" s="612">
        <f>+'IT-STATEMENT-2021-2022 OLD'!P16</f>
        <v>0</v>
      </c>
      <c r="P16" s="613">
        <f>+'IT-STATEMENT-2021-2022 OLD'!Q16</f>
        <v>200</v>
      </c>
      <c r="Q16" s="614">
        <f>+'IT-STATEMENT-2021-2022 OLD'!R16</f>
        <v>0</v>
      </c>
      <c r="R16" s="614">
        <f>+'IT-STATEMENT-2021-2022 OLD'!S16</f>
        <v>0</v>
      </c>
      <c r="S16" s="614">
        <f>+'IT-STATEMENT-2021-2022 OLD'!T16</f>
        <v>0</v>
      </c>
      <c r="T16" s="618"/>
      <c r="U16" s="615">
        <f>+'IT-STATEMENT-2021-2022 OLD'!V16</f>
        <v>0</v>
      </c>
      <c r="V16" s="622" t="e">
        <f t="shared" si="11"/>
        <v>#N/A</v>
      </c>
      <c r="W16" s="628">
        <f t="shared" si="12"/>
        <v>11</v>
      </c>
      <c r="Y16" s="6">
        <f t="shared" si="3"/>
        <v>0</v>
      </c>
      <c r="AA16" s="24">
        <f>IF($B$16=0," ",DATE(2018,$B$16,1))</f>
        <v>43101</v>
      </c>
      <c r="AB16" s="25"/>
      <c r="AC16" s="235"/>
      <c r="AD16" s="235"/>
      <c r="AE16" s="25">
        <f>IF($B17=0,0,VLOOKUP($AC11,$AE17:$AF20,2))</f>
        <v>500</v>
      </c>
      <c r="AF16" s="148">
        <v>0</v>
      </c>
      <c r="AG16" s="107"/>
      <c r="AH16" s="107"/>
      <c r="AI16" s="146"/>
      <c r="AJ16" s="25">
        <f>IF($B$14=0,0,VLOOKUP($G$21,$G$8:$L$17,4)/$B$14)</f>
        <v>0</v>
      </c>
      <c r="AK16" s="107"/>
      <c r="AL16" s="25" t="e">
        <f>IF($B$17=0,0,VLOOKUP($G$22,$G$18:$L$19,4)/$B$17)</f>
        <v>#N/A</v>
      </c>
      <c r="AM16" s="107"/>
      <c r="AN16" s="194" t="e">
        <f>ROUND(V15/4,0)</f>
        <v>#N/A</v>
      </c>
      <c r="AO16" s="629" t="e">
        <f>CEILING(AN16,100)</f>
        <v>#N/A</v>
      </c>
      <c r="AP16" s="76" t="e">
        <f>ROUNDDOWN(AN16,0.1)</f>
        <v>#N/A</v>
      </c>
      <c r="AQ16" s="107"/>
      <c r="AR16" s="107"/>
      <c r="AS16" s="125">
        <v>9</v>
      </c>
      <c r="AT16" s="149" t="s">
        <v>40</v>
      </c>
      <c r="AU16" s="107"/>
      <c r="AV16" s="107"/>
      <c r="AW16" s="107"/>
      <c r="AX16" s="630" t="e">
        <f>IF(U79&gt;150001,150000,IF(AND(U79&lt;150001),U79))</f>
        <v>#N/A</v>
      </c>
      <c r="AY16" s="107"/>
      <c r="AZ16" s="107"/>
      <c r="BA16" s="107"/>
      <c r="BB16" s="378">
        <v>16000</v>
      </c>
      <c r="BC16" s="378">
        <v>2000</v>
      </c>
      <c r="BD16" s="378"/>
      <c r="BE16" s="378"/>
      <c r="BF16" s="378"/>
      <c r="BG16" s="107"/>
      <c r="BH16" s="107"/>
      <c r="BI16" s="136"/>
      <c r="BL16">
        <f t="shared" si="4"/>
        <v>25800</v>
      </c>
      <c r="BM16">
        <f t="shared" si="4"/>
        <v>0</v>
      </c>
      <c r="BN16">
        <f t="shared" si="5"/>
        <v>25800</v>
      </c>
      <c r="BO16">
        <f t="shared" si="6"/>
        <v>2600</v>
      </c>
      <c r="BP16">
        <f t="shared" si="7"/>
        <v>500</v>
      </c>
      <c r="BR16" s="905">
        <v>44501</v>
      </c>
      <c r="BS16" s="905">
        <v>5700</v>
      </c>
    </row>
    <row r="17" spans="1:71" ht="15">
      <c r="A17" s="15"/>
      <c r="B17" s="627">
        <v>2</v>
      </c>
      <c r="F17" s="42">
        <f t="shared" si="13"/>
        <v>0.07</v>
      </c>
      <c r="G17" s="605">
        <f>+'IT-STATEMENT-2021-2022 OLD'!H17</f>
        <v>44531</v>
      </c>
      <c r="H17" s="624">
        <f>+H16</f>
        <v>25800</v>
      </c>
      <c r="I17" s="618">
        <f t="shared" si="8"/>
        <v>0</v>
      </c>
      <c r="J17" s="619">
        <f t="shared" si="9"/>
        <v>1806</v>
      </c>
      <c r="K17" s="618">
        <f t="shared" si="2"/>
        <v>2600</v>
      </c>
      <c r="L17" s="618">
        <f t="shared" si="2"/>
        <v>500</v>
      </c>
      <c r="M17" s="620">
        <f t="shared" si="10"/>
        <v>0</v>
      </c>
      <c r="N17" s="621">
        <f t="shared" si="1"/>
        <v>30706</v>
      </c>
      <c r="O17" s="612">
        <f>+'IT-STATEMENT-2021-2022 OLD'!P17</f>
        <v>0</v>
      </c>
      <c r="P17" s="613">
        <f>+'IT-STATEMENT-2021-2022 OLD'!Q17</f>
        <v>200</v>
      </c>
      <c r="Q17" s="614">
        <f>+'IT-STATEMENT-2021-2022 OLD'!R17</f>
        <v>0</v>
      </c>
      <c r="R17" s="614">
        <f>+'IT-STATEMENT-2021-2022 OLD'!S17</f>
        <v>0</v>
      </c>
      <c r="S17" s="614">
        <f>+'IT-STATEMENT-2021-2022 OLD'!T17</f>
        <v>0</v>
      </c>
      <c r="T17" s="618"/>
      <c r="U17" s="615">
        <f>+'IT-STATEMENT-2021-2022 OLD'!V17</f>
        <v>0</v>
      </c>
      <c r="V17" s="631" t="e">
        <f t="shared" si="11"/>
        <v>#N/A</v>
      </c>
      <c r="W17" s="404">
        <f t="shared" si="12"/>
        <v>12</v>
      </c>
      <c r="Y17" s="6">
        <f t="shared" si="3"/>
        <v>0</v>
      </c>
      <c r="AA17" s="156">
        <v>1</v>
      </c>
      <c r="AB17" s="231">
        <f>DATE(2018,1,1)</f>
        <v>43101</v>
      </c>
      <c r="AC17" s="235"/>
      <c r="AD17" s="235"/>
      <c r="AE17" s="86">
        <f>DATE(2018,1,1)</f>
        <v>43101</v>
      </c>
      <c r="AF17" s="152">
        <f>ROUND(+AF7/2,0)</f>
        <v>500</v>
      </c>
      <c r="AG17" s="107"/>
      <c r="AH17" s="107"/>
      <c r="AI17" s="146"/>
      <c r="AJ17" s="25">
        <f>IF($B$14=0,0,VLOOKUP($G$21,$G$8:$L$17,5)/$B$14)</f>
        <v>0</v>
      </c>
      <c r="AK17" s="107"/>
      <c r="AL17" s="25" t="e">
        <f>IF($B$17=0,0,VLOOKUP($G$22,$G$18:$L$19,5)/$B$17)</f>
        <v>#N/A</v>
      </c>
      <c r="AM17" s="107"/>
      <c r="AN17" s="194" t="e">
        <f>ROUND(V16/3,0)</f>
        <v>#N/A</v>
      </c>
      <c r="AO17" s="629" t="e">
        <f>CEILING(AN17,100)</f>
        <v>#N/A</v>
      </c>
      <c r="AP17" s="107"/>
      <c r="AQ17" s="107"/>
      <c r="AR17" s="107"/>
      <c r="AS17" s="153" t="s">
        <v>82</v>
      </c>
      <c r="AT17" s="133" t="s">
        <v>81</v>
      </c>
      <c r="AU17" s="133"/>
      <c r="AV17" s="133"/>
      <c r="AW17" s="134"/>
      <c r="AX17" s="154">
        <f>+U205</f>
        <v>0</v>
      </c>
      <c r="AY17" s="107"/>
      <c r="AZ17" s="107"/>
      <c r="BA17" s="107"/>
      <c r="BB17" s="378">
        <v>17300</v>
      </c>
      <c r="BC17" s="378">
        <v>2200</v>
      </c>
      <c r="BD17" s="378"/>
      <c r="BE17" s="378"/>
      <c r="BF17" s="378"/>
      <c r="BG17" s="107"/>
      <c r="BH17" s="107"/>
      <c r="BI17" s="136"/>
      <c r="BL17">
        <f t="shared" si="4"/>
        <v>25800</v>
      </c>
      <c r="BM17">
        <f t="shared" si="4"/>
        <v>0</v>
      </c>
      <c r="BN17">
        <f t="shared" si="5"/>
        <v>25800</v>
      </c>
      <c r="BO17">
        <f t="shared" si="6"/>
        <v>2600</v>
      </c>
      <c r="BP17">
        <f t="shared" si="7"/>
        <v>500</v>
      </c>
      <c r="BR17" s="905">
        <v>50201</v>
      </c>
      <c r="BS17" s="905">
        <v>6200</v>
      </c>
    </row>
    <row r="18" spans="6:71" ht="15">
      <c r="F18" s="42">
        <f t="shared" si="13"/>
        <v>0.07</v>
      </c>
      <c r="G18" s="605">
        <f>+'IT-STATEMENT-2021-2022 OLD'!H18</f>
        <v>44562</v>
      </c>
      <c r="H18" s="624">
        <f>IF($B$8&lt;1,$H$17,IF($B$8=1,$H$17+$B$7,IF($B$8&gt;1,$H$17)))</f>
        <v>25800</v>
      </c>
      <c r="I18" s="618">
        <f t="shared" si="8"/>
        <v>0</v>
      </c>
      <c r="J18" s="619">
        <f t="shared" si="9"/>
        <v>1806</v>
      </c>
      <c r="K18" s="618">
        <f t="shared" si="2"/>
        <v>2600</v>
      </c>
      <c r="L18" s="618">
        <f t="shared" si="2"/>
        <v>500</v>
      </c>
      <c r="M18" s="620">
        <f t="shared" si="10"/>
        <v>0</v>
      </c>
      <c r="N18" s="621">
        <f t="shared" si="1"/>
        <v>30706</v>
      </c>
      <c r="O18" s="612">
        <f>+'IT-STATEMENT-2021-2022 OLD'!P18</f>
        <v>0</v>
      </c>
      <c r="P18" s="613">
        <f>+'IT-STATEMENT-2021-2022 OLD'!Q18</f>
        <v>200</v>
      </c>
      <c r="Q18" s="614">
        <f>+'IT-STATEMENT-2021-2022 OLD'!R18</f>
        <v>0</v>
      </c>
      <c r="R18" s="614">
        <f>+'IT-STATEMENT-2021-2022 OLD'!S18</f>
        <v>0</v>
      </c>
      <c r="S18" s="614">
        <f>+'IT-STATEMENT-2021-2022 OLD'!T18</f>
        <v>0</v>
      </c>
      <c r="T18" s="618">
        <f>+AN12</f>
        <v>1095</v>
      </c>
      <c r="U18" s="615">
        <f>+'IT-STATEMENT-2021-2022 OLD'!V18</f>
        <v>0</v>
      </c>
      <c r="V18" s="631" t="e">
        <f t="shared" si="11"/>
        <v>#N/A</v>
      </c>
      <c r="W18" s="405">
        <v>1</v>
      </c>
      <c r="Y18" s="6">
        <f t="shared" si="3"/>
        <v>0</v>
      </c>
      <c r="AA18" s="156">
        <v>2</v>
      </c>
      <c r="AB18" s="231">
        <f>DATE(2018,2,1)</f>
        <v>43132</v>
      </c>
      <c r="AC18" s="235"/>
      <c r="AD18" s="235"/>
      <c r="AE18" s="86">
        <f>DATE(2018,2,1)</f>
        <v>43132</v>
      </c>
      <c r="AF18" s="152">
        <f>ROUND(+AF8/2,0)</f>
        <v>500</v>
      </c>
      <c r="AG18" s="107"/>
      <c r="AH18" s="107"/>
      <c r="AI18" s="146"/>
      <c r="AJ18" s="25">
        <f>IF($B$14=0,0,VLOOKUP($G$21,$G$8:$L$17,6)/$B$14)</f>
        <v>0</v>
      </c>
      <c r="AK18" s="107"/>
      <c r="AL18" s="243" t="e">
        <f>IF($B$17=0,0,VLOOKUP($G$22,$G$18:$L$19,6)/$B$17)</f>
        <v>#N/A</v>
      </c>
      <c r="AM18" s="107"/>
      <c r="AN18" s="194" t="e">
        <f>ROUND(V17/2,0)</f>
        <v>#N/A</v>
      </c>
      <c r="AO18" s="629" t="e">
        <f>CEILING(AN18,100)</f>
        <v>#N/A</v>
      </c>
      <c r="AP18" s="107"/>
      <c r="AQ18" s="107"/>
      <c r="AR18" s="107"/>
      <c r="AS18" s="125"/>
      <c r="AT18" s="149" t="s">
        <v>3</v>
      </c>
      <c r="AU18" s="149"/>
      <c r="AV18" s="149"/>
      <c r="AW18" s="107"/>
      <c r="AX18" s="155" t="e">
        <f>+AX16+AX17</f>
        <v>#N/A</v>
      </c>
      <c r="AY18" s="107"/>
      <c r="AZ18" s="107"/>
      <c r="BA18" s="107"/>
      <c r="BB18" s="378">
        <v>19530</v>
      </c>
      <c r="BC18" s="378">
        <v>2400</v>
      </c>
      <c r="BD18" s="378"/>
      <c r="BE18" s="378"/>
      <c r="BF18" s="378"/>
      <c r="BG18" s="107"/>
      <c r="BH18" s="107"/>
      <c r="BI18" s="136"/>
      <c r="BL18">
        <f t="shared" si="4"/>
        <v>25800</v>
      </c>
      <c r="BM18">
        <f t="shared" si="4"/>
        <v>0</v>
      </c>
      <c r="BN18">
        <f t="shared" si="5"/>
        <v>25800</v>
      </c>
      <c r="BO18">
        <f t="shared" si="6"/>
        <v>2600</v>
      </c>
      <c r="BP18">
        <f t="shared" si="7"/>
        <v>500</v>
      </c>
      <c r="BR18" s="905">
        <v>51601</v>
      </c>
      <c r="BS18" s="905">
        <v>6800</v>
      </c>
    </row>
    <row r="19" spans="6:71" ht="15.75" thickBot="1">
      <c r="F19" s="42">
        <f t="shared" si="13"/>
        <v>0.07</v>
      </c>
      <c r="G19" s="605">
        <f>+'IT-STATEMENT-2021-2022 OLD'!H19</f>
        <v>44593</v>
      </c>
      <c r="H19" s="624">
        <f t="shared" si="14"/>
        <v>25800</v>
      </c>
      <c r="I19" s="618">
        <f t="shared" si="8"/>
        <v>0</v>
      </c>
      <c r="J19" s="619">
        <f t="shared" si="9"/>
        <v>1806</v>
      </c>
      <c r="K19" s="618">
        <f t="shared" si="2"/>
        <v>2600</v>
      </c>
      <c r="L19" s="618">
        <f t="shared" si="2"/>
        <v>500</v>
      </c>
      <c r="M19" s="620">
        <f t="shared" si="10"/>
        <v>0</v>
      </c>
      <c r="N19" s="621">
        <f t="shared" si="1"/>
        <v>30706</v>
      </c>
      <c r="O19" s="612">
        <f>+'IT-STATEMENT-2021-2022 OLD'!P19</f>
        <v>0</v>
      </c>
      <c r="P19" s="613">
        <f>+'IT-STATEMENT-2021-2022 OLD'!Q19</f>
        <v>200</v>
      </c>
      <c r="Q19" s="614">
        <f>+'IT-STATEMENT-2021-2022 OLD'!R19</f>
        <v>0</v>
      </c>
      <c r="R19" s="614">
        <f>+'IT-STATEMENT-2021-2022 OLD'!S19</f>
        <v>0</v>
      </c>
      <c r="S19" s="614">
        <f>+'IT-STATEMENT-2021-2022 OLD'!T19</f>
        <v>0</v>
      </c>
      <c r="T19" s="618"/>
      <c r="U19" s="615">
        <f>+'IT-STATEMENT-2021-2022 OLD'!V19</f>
        <v>-9398</v>
      </c>
      <c r="V19" s="631" t="e">
        <f t="shared" si="11"/>
        <v>#N/A</v>
      </c>
      <c r="W19" s="405">
        <f t="shared" si="12"/>
        <v>2</v>
      </c>
      <c r="Y19" s="632"/>
      <c r="AA19" s="156">
        <v>3</v>
      </c>
      <c r="AB19" s="232">
        <v>0</v>
      </c>
      <c r="AC19" s="235"/>
      <c r="AD19" s="235"/>
      <c r="AE19" s="86">
        <f>DATE(2018,3,1)</f>
        <v>43160</v>
      </c>
      <c r="AF19" s="152">
        <f>ROUND(+AF9/2,0)</f>
        <v>500</v>
      </c>
      <c r="AG19" s="107"/>
      <c r="AH19" s="107"/>
      <c r="AI19" s="146"/>
      <c r="AJ19" s="242">
        <f>SUM(AJ14:AJ18)</f>
        <v>0</v>
      </c>
      <c r="AK19" s="107"/>
      <c r="AL19" s="242" t="e">
        <f>SUM(AL14:AL18)</f>
        <v>#N/A</v>
      </c>
      <c r="AM19" s="107"/>
      <c r="AN19" s="194" t="e">
        <f>ROUND(V18/1,0)</f>
        <v>#N/A</v>
      </c>
      <c r="AO19" s="629" t="e">
        <f>CEILING(AN19,100)</f>
        <v>#N/A</v>
      </c>
      <c r="AP19" s="107"/>
      <c r="AQ19" s="107"/>
      <c r="AR19" s="107"/>
      <c r="AS19" s="125">
        <v>10</v>
      </c>
      <c r="AT19" s="149" t="str">
        <f>+H207</f>
        <v>SAVINGS TOTAL</v>
      </c>
      <c r="AU19" s="149"/>
      <c r="AV19" s="149"/>
      <c r="AW19" s="149"/>
      <c r="AX19" s="633" t="e">
        <f>+U78</f>
        <v>#N/A</v>
      </c>
      <c r="AY19" s="107"/>
      <c r="AZ19" s="107"/>
      <c r="BA19" s="107"/>
      <c r="BB19" s="378">
        <v>20090</v>
      </c>
      <c r="BC19" s="378">
        <v>2600</v>
      </c>
      <c r="BD19" s="378"/>
      <c r="BE19" s="378"/>
      <c r="BF19" s="378"/>
      <c r="BG19" s="107"/>
      <c r="BH19" s="107"/>
      <c r="BI19" s="136"/>
      <c r="BL19">
        <f t="shared" si="4"/>
        <v>25800</v>
      </c>
      <c r="BM19">
        <f t="shared" si="4"/>
        <v>0</v>
      </c>
      <c r="BN19">
        <f t="shared" si="5"/>
        <v>25800</v>
      </c>
      <c r="BO19">
        <f t="shared" si="6"/>
        <v>2600</v>
      </c>
      <c r="BP19">
        <f t="shared" si="7"/>
        <v>500</v>
      </c>
      <c r="BR19" s="905">
        <v>54001</v>
      </c>
      <c r="BS19" s="905">
        <v>7300</v>
      </c>
    </row>
    <row r="20" spans="6:71" ht="15.75" thickBot="1">
      <c r="F20" s="38"/>
      <c r="G20" s="634" t="s">
        <v>29</v>
      </c>
      <c r="H20" s="625"/>
      <c r="I20" s="618"/>
      <c r="J20" s="618"/>
      <c r="K20" s="618"/>
      <c r="L20" s="618"/>
      <c r="M20" s="620"/>
      <c r="N20" s="621"/>
      <c r="O20" s="625"/>
      <c r="P20" s="618"/>
      <c r="Q20" s="618"/>
      <c r="R20" s="618"/>
      <c r="S20" s="618"/>
      <c r="T20" s="618"/>
      <c r="U20" s="620"/>
      <c r="V20" s="622"/>
      <c r="W20" s="402"/>
      <c r="Y20" s="635">
        <f>SUM(Y8:Y19)</f>
        <v>0</v>
      </c>
      <c r="AA20" s="156">
        <v>4</v>
      </c>
      <c r="AB20" s="232">
        <v>0</v>
      </c>
      <c r="AC20" s="235"/>
      <c r="AD20" s="235"/>
      <c r="AE20" s="86">
        <f>DATE(2018,4,1)</f>
        <v>43191</v>
      </c>
      <c r="AF20" s="152">
        <f>ROUND(+AF10/2,0)</f>
        <v>0</v>
      </c>
      <c r="AG20" s="107"/>
      <c r="AH20" s="107"/>
      <c r="AI20" s="146"/>
      <c r="AJ20" s="107"/>
      <c r="AK20" s="107"/>
      <c r="AL20" s="107"/>
      <c r="AM20" s="107"/>
      <c r="AN20" s="382">
        <v>0</v>
      </c>
      <c r="AO20" s="382">
        <v>0</v>
      </c>
      <c r="AP20" s="107"/>
      <c r="AQ20" s="107"/>
      <c r="AR20" s="107"/>
      <c r="AS20" s="125">
        <v>11</v>
      </c>
      <c r="AT20" s="149" t="str">
        <f>VLOOKUP(AO6,AW6:AX7,2)</f>
        <v>UPTO RS.250000/= (   NIL  )</v>
      </c>
      <c r="AU20" s="149"/>
      <c r="AV20" s="149"/>
      <c r="AW20" s="149"/>
      <c r="AX20" s="160">
        <f>VLOOKUP(AO6,AP6:AQ7,2,FALSE)</f>
        <v>250000</v>
      </c>
      <c r="AY20" s="107"/>
      <c r="AZ20" s="107"/>
      <c r="BA20" s="107"/>
      <c r="BB20" s="378">
        <v>21020</v>
      </c>
      <c r="BC20" s="378">
        <v>2800</v>
      </c>
      <c r="BD20" s="378"/>
      <c r="BE20" s="378"/>
      <c r="BF20" s="378"/>
      <c r="BG20" s="107"/>
      <c r="BH20" s="107"/>
      <c r="BI20" s="136"/>
      <c r="BR20" s="905">
        <v>55501</v>
      </c>
      <c r="BS20" s="905">
        <v>7500</v>
      </c>
    </row>
    <row r="21" spans="6:71" ht="18">
      <c r="F21" s="38"/>
      <c r="G21" s="636" t="str">
        <f>IF($B$13=0," ",DATE(2018,$B$13,1))</f>
        <v> </v>
      </c>
      <c r="H21" s="637"/>
      <c r="I21" s="638"/>
      <c r="J21" s="638"/>
      <c r="K21" s="638"/>
      <c r="L21" s="638"/>
      <c r="M21" s="639"/>
      <c r="N21" s="640">
        <f>+AJ19</f>
        <v>0</v>
      </c>
      <c r="O21" s="625"/>
      <c r="P21" s="618"/>
      <c r="Q21" s="618"/>
      <c r="R21" s="618"/>
      <c r="S21" s="618"/>
      <c r="T21" s="618"/>
      <c r="U21" s="620"/>
      <c r="V21" s="641"/>
      <c r="W21" s="642"/>
      <c r="AA21" s="156">
        <v>5</v>
      </c>
      <c r="AB21" s="232">
        <v>0</v>
      </c>
      <c r="AC21" s="235"/>
      <c r="AD21" s="235"/>
      <c r="AE21" s="233" t="s">
        <v>70</v>
      </c>
      <c r="AF21" s="159">
        <v>1000</v>
      </c>
      <c r="AG21" s="107"/>
      <c r="AH21" s="107"/>
      <c r="AI21" s="146"/>
      <c r="AJ21" s="107"/>
      <c r="AK21" s="107"/>
      <c r="AL21" s="107"/>
      <c r="AM21" s="107"/>
      <c r="AN21" s="78">
        <v>1</v>
      </c>
      <c r="AO21" s="78">
        <f>U19</f>
        <v>-9398</v>
      </c>
      <c r="AP21" s="107"/>
      <c r="AQ21" s="107"/>
      <c r="AR21" s="107"/>
      <c r="AS21" s="149"/>
      <c r="AT21" s="149"/>
      <c r="AU21" s="149"/>
      <c r="AV21" s="149"/>
      <c r="AW21" s="149"/>
      <c r="AX21" s="155" t="e">
        <f>+AX19-AX20</f>
        <v>#N/A</v>
      </c>
      <c r="AY21" s="107"/>
      <c r="AZ21" s="107"/>
      <c r="BA21" s="107"/>
      <c r="BB21" s="378">
        <v>21580</v>
      </c>
      <c r="BC21" s="378">
        <v>2900</v>
      </c>
      <c r="BD21" s="378"/>
      <c r="BE21" s="378"/>
      <c r="BF21" s="378"/>
      <c r="BG21" s="107"/>
      <c r="BH21" s="107"/>
      <c r="BI21" s="136"/>
      <c r="BR21" s="905">
        <v>56901</v>
      </c>
      <c r="BS21" s="905">
        <v>7800</v>
      </c>
    </row>
    <row r="22" spans="6:71" ht="18.75" thickBot="1">
      <c r="F22" s="39"/>
      <c r="G22" s="643">
        <f>IF($B$16=0," ",DATE(2019,$B$17,1))</f>
        <v>43497</v>
      </c>
      <c r="H22" s="644"/>
      <c r="I22" s="645"/>
      <c r="J22" s="645"/>
      <c r="K22" s="645"/>
      <c r="L22" s="645"/>
      <c r="M22" s="646"/>
      <c r="N22" s="647" t="e">
        <f>+AL19</f>
        <v>#N/A</v>
      </c>
      <c r="O22" s="648"/>
      <c r="P22" s="649"/>
      <c r="Q22" s="649"/>
      <c r="R22" s="649"/>
      <c r="S22" s="649"/>
      <c r="T22" s="649"/>
      <c r="U22" s="650"/>
      <c r="V22" s="651"/>
      <c r="W22" s="652"/>
      <c r="AA22" s="156">
        <v>6</v>
      </c>
      <c r="AB22" s="232">
        <v>0</v>
      </c>
      <c r="AC22" s="235"/>
      <c r="AD22" s="235"/>
      <c r="AE22" s="233" t="s">
        <v>72</v>
      </c>
      <c r="AF22" s="162">
        <v>16800</v>
      </c>
      <c r="AG22" s="107"/>
      <c r="AH22" s="107"/>
      <c r="AI22" s="146"/>
      <c r="AJ22" s="107"/>
      <c r="AK22" s="107"/>
      <c r="AL22" s="107"/>
      <c r="AM22" s="107"/>
      <c r="AN22" s="78">
        <v>2</v>
      </c>
      <c r="AO22" s="389">
        <f>+U18+U19</f>
        <v>-9398</v>
      </c>
      <c r="AP22" s="107"/>
      <c r="AQ22" s="107"/>
      <c r="AR22" s="107"/>
      <c r="AS22" s="107"/>
      <c r="AT22" s="1712" t="str">
        <f>VLOOKUP(AO6,AW9:AX10,2)</f>
        <v>250001  TO  500000  5%</v>
      </c>
      <c r="AU22" s="1712"/>
      <c r="AV22" s="1712"/>
      <c r="AW22" s="163" t="e">
        <f>VLOOKUP(AO6,AW12:AX13,2)</f>
        <v>#N/A</v>
      </c>
      <c r="AX22" s="164" t="e">
        <f>ROUND(+AW22*10%,0)</f>
        <v>#N/A</v>
      </c>
      <c r="AY22" s="107"/>
      <c r="AZ22" s="107"/>
      <c r="BA22" s="107"/>
      <c r="BB22" s="378">
        <v>22140</v>
      </c>
      <c r="BC22" s="378">
        <v>3000</v>
      </c>
      <c r="BD22" s="378"/>
      <c r="BE22" s="378"/>
      <c r="BF22" s="378"/>
      <c r="BG22" s="107"/>
      <c r="BH22" s="107"/>
      <c r="BI22" s="136"/>
      <c r="BR22" s="906">
        <v>64201</v>
      </c>
      <c r="BS22" s="905">
        <v>8300</v>
      </c>
    </row>
    <row r="23" spans="6:71" ht="18.75" thickBot="1">
      <c r="F23" s="40"/>
      <c r="G23" s="653" t="s">
        <v>3</v>
      </c>
      <c r="H23" s="654">
        <f aca="true" t="shared" si="15" ref="H23:M23">SUM(H8:H19)</f>
        <v>308800</v>
      </c>
      <c r="I23" s="655">
        <f t="shared" si="15"/>
        <v>0</v>
      </c>
      <c r="J23" s="655">
        <f t="shared" si="15"/>
        <v>21616</v>
      </c>
      <c r="K23" s="655">
        <f t="shared" si="15"/>
        <v>31200</v>
      </c>
      <c r="L23" s="655">
        <f t="shared" si="15"/>
        <v>6000</v>
      </c>
      <c r="M23" s="655">
        <f t="shared" si="15"/>
        <v>0</v>
      </c>
      <c r="N23" s="656" t="e">
        <f aca="true" t="shared" si="16" ref="N23:U23">SUM(N8:N22)</f>
        <v>#N/A</v>
      </c>
      <c r="O23" s="657">
        <f t="shared" si="16"/>
        <v>0</v>
      </c>
      <c r="P23" s="658">
        <f t="shared" si="16"/>
        <v>2400</v>
      </c>
      <c r="Q23" s="658">
        <f t="shared" si="16"/>
        <v>0</v>
      </c>
      <c r="R23" s="658">
        <f t="shared" si="16"/>
        <v>0</v>
      </c>
      <c r="S23" s="658">
        <f t="shared" si="16"/>
        <v>0</v>
      </c>
      <c r="T23" s="658">
        <f t="shared" si="16"/>
        <v>2190</v>
      </c>
      <c r="U23" s="659">
        <f t="shared" si="16"/>
        <v>-9398</v>
      </c>
      <c r="V23" s="660" t="e">
        <f>V7</f>
        <v>#N/A</v>
      </c>
      <c r="W23" s="661"/>
      <c r="AA23" s="156">
        <v>7</v>
      </c>
      <c r="AB23" s="232">
        <v>0</v>
      </c>
      <c r="AC23" s="235"/>
      <c r="AD23" s="235"/>
      <c r="AE23" s="233" t="str">
        <f>+D3</f>
        <v>S</v>
      </c>
      <c r="AF23" s="162">
        <f>VLOOKUP(+AE23,AE21:AF22,2)</f>
        <v>16800</v>
      </c>
      <c r="AG23" s="107"/>
      <c r="AH23" s="107"/>
      <c r="AI23" s="137"/>
      <c r="AJ23" s="138"/>
      <c r="AK23" s="138"/>
      <c r="AL23" s="138"/>
      <c r="AM23" s="138"/>
      <c r="AN23" s="78">
        <v>3</v>
      </c>
      <c r="AO23" s="389">
        <f>+U17+U18+U19</f>
        <v>-9398</v>
      </c>
      <c r="AP23" s="138"/>
      <c r="AQ23" s="138"/>
      <c r="AR23" s="138"/>
      <c r="AS23" s="138"/>
      <c r="AT23" s="149" t="s">
        <v>225</v>
      </c>
      <c r="AU23" s="149"/>
      <c r="AV23" s="149"/>
      <c r="AW23" s="165" t="e">
        <f>IF(AX21&gt;500000,BH7,IF(AX21&lt;1000000,BH6,0))</f>
        <v>#N/A</v>
      </c>
      <c r="AX23" s="164" t="e">
        <f>ROUND(+AW23*20%,0)</f>
        <v>#N/A</v>
      </c>
      <c r="AY23" s="138"/>
      <c r="AZ23" s="138"/>
      <c r="BA23" s="138"/>
      <c r="BB23" s="379">
        <v>25000</v>
      </c>
      <c r="BC23" s="379">
        <v>3200</v>
      </c>
      <c r="BD23" s="378"/>
      <c r="BE23" s="378"/>
      <c r="BF23" s="378"/>
      <c r="BG23" s="138"/>
      <c r="BH23" s="138"/>
      <c r="BI23" s="127"/>
      <c r="BR23" s="906">
        <v>64201</v>
      </c>
      <c r="BS23" s="906">
        <v>8300</v>
      </c>
    </row>
    <row r="24" spans="7:61" ht="12.75">
      <c r="G24" s="662" t="s">
        <v>30</v>
      </c>
      <c r="H24" s="663"/>
      <c r="I24" s="663"/>
      <c r="J24" s="663"/>
      <c r="K24" s="663"/>
      <c r="L24" s="663"/>
      <c r="M24" s="664"/>
      <c r="N24" s="665">
        <f>+AF23</f>
        <v>16800</v>
      </c>
      <c r="O24" s="1780"/>
      <c r="P24" s="1781"/>
      <c r="Q24" s="1781"/>
      <c r="R24" s="1781"/>
      <c r="S24" s="1781"/>
      <c r="T24" s="1781"/>
      <c r="U24" s="1782"/>
      <c r="AA24" s="156">
        <v>8</v>
      </c>
      <c r="AB24" s="232">
        <v>0</v>
      </c>
      <c r="AC24" s="235"/>
      <c r="AD24" s="235"/>
      <c r="AE24" s="151"/>
      <c r="AF24" s="157"/>
      <c r="AG24" s="107"/>
      <c r="AH24" s="107"/>
      <c r="AI24" s="146"/>
      <c r="AJ24" s="107"/>
      <c r="AK24" s="107"/>
      <c r="AL24" s="107"/>
      <c r="AM24" s="107"/>
      <c r="AN24" s="78">
        <v>4</v>
      </c>
      <c r="AO24" s="389">
        <f>U16+U17+U18+U19</f>
        <v>-9398</v>
      </c>
      <c r="AP24" s="107"/>
      <c r="AQ24" s="107"/>
      <c r="AR24" s="107"/>
      <c r="AS24" s="107"/>
      <c r="AT24" s="149" t="s">
        <v>226</v>
      </c>
      <c r="AU24" s="149"/>
      <c r="AV24" s="149"/>
      <c r="AW24" s="166" t="e">
        <f>IF(AX21&gt;1000000,+AZ26-BA26,IF(AX21&lt;1000000,+AX21-AW22-AW23,0))</f>
        <v>#N/A</v>
      </c>
      <c r="AX24" s="167" t="e">
        <f>ROUND(+AW24*30%,0)</f>
        <v>#N/A</v>
      </c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36"/>
    </row>
    <row r="25" spans="7:61" ht="13.5" thickBot="1">
      <c r="G25" s="390" t="s">
        <v>102</v>
      </c>
      <c r="H25" s="666"/>
      <c r="I25" s="666"/>
      <c r="J25" s="666"/>
      <c r="K25" s="666"/>
      <c r="L25" s="666"/>
      <c r="M25" s="667"/>
      <c r="N25" s="668">
        <v>0</v>
      </c>
      <c r="O25" s="669"/>
      <c r="P25" s="670"/>
      <c r="Q25" s="670"/>
      <c r="R25" s="670"/>
      <c r="S25" s="670"/>
      <c r="T25" s="671"/>
      <c r="U25" s="672"/>
      <c r="AA25" s="156">
        <v>9</v>
      </c>
      <c r="AB25" s="232">
        <v>0</v>
      </c>
      <c r="AC25" s="235"/>
      <c r="AD25" s="235"/>
      <c r="AE25" s="151"/>
      <c r="AF25" s="157"/>
      <c r="AG25" s="107"/>
      <c r="AH25" s="107"/>
      <c r="AI25" s="146"/>
      <c r="AJ25" s="107"/>
      <c r="AK25" s="107"/>
      <c r="AL25" s="107"/>
      <c r="AM25" s="107"/>
      <c r="AN25" s="78">
        <v>5</v>
      </c>
      <c r="AO25" s="389">
        <f>U15+U16+U17+U18+U19</f>
        <v>-9398</v>
      </c>
      <c r="AP25" s="107"/>
      <c r="AQ25" s="107"/>
      <c r="AR25" s="107"/>
      <c r="AS25" s="107"/>
      <c r="AT25" s="107"/>
      <c r="AU25" s="107"/>
      <c r="AV25" s="107"/>
      <c r="AW25" s="142" t="e">
        <f>SUM(AW22:AW24)</f>
        <v>#N/A</v>
      </c>
      <c r="AX25" s="142" t="e">
        <f>SUM(AX22:AX24)</f>
        <v>#N/A</v>
      </c>
      <c r="AY25" s="107"/>
      <c r="AZ25" s="673" t="e">
        <f>+AX21</f>
        <v>#N/A</v>
      </c>
      <c r="BA25" s="142" t="e">
        <f>+AW22</f>
        <v>#N/A</v>
      </c>
      <c r="BB25" s="142" t="e">
        <f>+AZ25-BA25</f>
        <v>#N/A</v>
      </c>
      <c r="BC25" s="107"/>
      <c r="BD25" s="107"/>
      <c r="BE25" s="107"/>
      <c r="BF25" s="107"/>
      <c r="BG25" s="107"/>
      <c r="BH25" s="107"/>
      <c r="BI25" s="136"/>
    </row>
    <row r="26" spans="5:65" ht="12.75">
      <c r="E26" s="18"/>
      <c r="F26" s="30"/>
      <c r="G26" s="390" t="s">
        <v>385</v>
      </c>
      <c r="H26" s="666"/>
      <c r="I26" s="666"/>
      <c r="J26" s="666"/>
      <c r="K26" s="666"/>
      <c r="L26" s="666"/>
      <c r="M26" s="667"/>
      <c r="N26" s="668">
        <v>0</v>
      </c>
      <c r="O26" s="669"/>
      <c r="P26" s="670"/>
      <c r="Q26" s="670"/>
      <c r="R26" s="670"/>
      <c r="S26" s="670"/>
      <c r="T26" s="671"/>
      <c r="U26" s="672"/>
      <c r="AA26" s="156">
        <v>10</v>
      </c>
      <c r="AB26" s="232">
        <v>0</v>
      </c>
      <c r="AC26" s="235"/>
      <c r="AD26" s="235"/>
      <c r="AE26" s="151"/>
      <c r="AF26" s="157"/>
      <c r="AG26" s="107"/>
      <c r="AH26" s="107"/>
      <c r="AI26" s="146"/>
      <c r="AJ26" s="107"/>
      <c r="AK26" s="107"/>
      <c r="AL26" s="107"/>
      <c r="AM26" s="107"/>
      <c r="AN26" s="107"/>
      <c r="AO26" s="107"/>
      <c r="AP26" s="107"/>
      <c r="AQ26" s="107"/>
      <c r="AR26" s="425">
        <v>0</v>
      </c>
      <c r="AS26" s="426">
        <v>0</v>
      </c>
      <c r="AT26" s="107"/>
      <c r="AU26" s="425">
        <v>0</v>
      </c>
      <c r="AV26" s="426">
        <v>0</v>
      </c>
      <c r="AW26" s="107"/>
      <c r="AX26" s="425">
        <v>0</v>
      </c>
      <c r="AY26" s="426">
        <v>0</v>
      </c>
      <c r="AZ26" s="673" t="e">
        <f>+BB25</f>
        <v>#N/A</v>
      </c>
      <c r="BA26" s="142" t="e">
        <f>+AW23</f>
        <v>#N/A</v>
      </c>
      <c r="BB26" s="142" t="e">
        <f>+AZ26-BA26</f>
        <v>#N/A</v>
      </c>
      <c r="BC26" s="107"/>
      <c r="BD26" s="425">
        <v>0</v>
      </c>
      <c r="BE26" s="426">
        <v>0</v>
      </c>
      <c r="BF26" s="107"/>
      <c r="BG26" s="107"/>
      <c r="BH26" s="107"/>
      <c r="BI26" s="136"/>
      <c r="BL26" s="573"/>
      <c r="BM26" s="574"/>
    </row>
    <row r="27" spans="7:65" ht="15.75">
      <c r="G27" s="390" t="s">
        <v>386</v>
      </c>
      <c r="H27" s="666"/>
      <c r="I27" s="666"/>
      <c r="J27" s="666"/>
      <c r="K27" s="666"/>
      <c r="L27" s="666"/>
      <c r="M27" s="667"/>
      <c r="N27" s="668">
        <v>0</v>
      </c>
      <c r="O27" s="669"/>
      <c r="P27" s="670"/>
      <c r="Q27" s="670"/>
      <c r="R27" s="670"/>
      <c r="S27" s="674"/>
      <c r="T27" s="671"/>
      <c r="U27" s="672"/>
      <c r="AA27" s="156">
        <v>11</v>
      </c>
      <c r="AB27" s="232">
        <v>0</v>
      </c>
      <c r="AC27" s="235"/>
      <c r="AD27" s="235"/>
      <c r="AE27" s="151"/>
      <c r="AF27" s="157"/>
      <c r="AG27" s="107"/>
      <c r="AH27" s="107"/>
      <c r="AI27" s="146"/>
      <c r="AJ27" s="107"/>
      <c r="AK27" s="107"/>
      <c r="AL27" s="107"/>
      <c r="AM27" s="380" t="s">
        <v>232</v>
      </c>
      <c r="AN27" s="107"/>
      <c r="AO27" s="107"/>
      <c r="AP27" s="107"/>
      <c r="AQ27" s="107"/>
      <c r="AR27" s="427">
        <v>1</v>
      </c>
      <c r="AS27" s="428">
        <f>+S29</f>
        <v>0</v>
      </c>
      <c r="AT27" s="107"/>
      <c r="AU27" s="427">
        <v>15001</v>
      </c>
      <c r="AV27" s="428">
        <v>15000</v>
      </c>
      <c r="AW27" s="107"/>
      <c r="AX27" s="427">
        <v>1</v>
      </c>
      <c r="AY27" s="428">
        <v>300000</v>
      </c>
      <c r="AZ27" s="675"/>
      <c r="BA27" s="107"/>
      <c r="BB27" s="107"/>
      <c r="BC27" s="107"/>
      <c r="BD27" s="427">
        <v>250000</v>
      </c>
      <c r="BE27" s="428">
        <f>+H199</f>
        <v>0</v>
      </c>
      <c r="BF27" s="107"/>
      <c r="BG27" s="107"/>
      <c r="BH27" s="107"/>
      <c r="BI27" s="136"/>
      <c r="BL27" s="575">
        <v>3</v>
      </c>
      <c r="BM27" s="88">
        <v>150</v>
      </c>
    </row>
    <row r="28" spans="5:65" ht="16.5" thickBot="1">
      <c r="E28" s="31"/>
      <c r="G28" s="390" t="s">
        <v>270</v>
      </c>
      <c r="H28" s="666"/>
      <c r="I28" s="666"/>
      <c r="J28" s="666"/>
      <c r="K28" s="666"/>
      <c r="L28" s="666"/>
      <c r="M28" s="667"/>
      <c r="N28" s="668">
        <v>0</v>
      </c>
      <c r="O28" s="669"/>
      <c r="P28" s="670"/>
      <c r="Q28" s="670"/>
      <c r="R28" s="670"/>
      <c r="S28" s="674"/>
      <c r="T28" s="671"/>
      <c r="U28" s="672"/>
      <c r="AA28" s="156">
        <v>12</v>
      </c>
      <c r="AB28" s="232">
        <v>0</v>
      </c>
      <c r="AC28" s="235"/>
      <c r="AD28" s="235"/>
      <c r="AE28" s="161"/>
      <c r="AF28" s="168"/>
      <c r="AG28" s="107"/>
      <c r="AH28" s="107"/>
      <c r="AI28" s="146"/>
      <c r="AJ28" s="107"/>
      <c r="AK28" s="107"/>
      <c r="AL28" s="382" t="str">
        <f>B11</f>
        <v>Y</v>
      </c>
      <c r="AM28" s="381" t="s">
        <v>235</v>
      </c>
      <c r="AN28" s="382">
        <v>0</v>
      </c>
      <c r="AO28" s="382">
        <f>VLOOKUP(+AL28,AM28:AN29,2)</f>
        <v>31200</v>
      </c>
      <c r="AP28" s="107"/>
      <c r="AQ28" s="107"/>
      <c r="AR28" s="429"/>
      <c r="AS28" s="432"/>
      <c r="AT28" s="107"/>
      <c r="AU28" s="429"/>
      <c r="AV28" s="432"/>
      <c r="AW28" s="107"/>
      <c r="AX28" s="429"/>
      <c r="AY28" s="432"/>
      <c r="AZ28" s="675"/>
      <c r="BA28" s="107"/>
      <c r="BB28" s="107"/>
      <c r="BC28" s="107"/>
      <c r="BD28" s="427">
        <v>250001</v>
      </c>
      <c r="BE28" s="428">
        <v>250000</v>
      </c>
      <c r="BF28" s="107"/>
      <c r="BG28" s="107"/>
      <c r="BH28" s="107"/>
      <c r="BI28" s="136"/>
      <c r="BL28" s="575">
        <f>+BL27+1</f>
        <v>4</v>
      </c>
      <c r="BM28" s="88">
        <v>150</v>
      </c>
    </row>
    <row r="29" spans="5:65" ht="16.5" thickBot="1">
      <c r="E29" s="32"/>
      <c r="G29" s="657" t="s">
        <v>3</v>
      </c>
      <c r="H29" s="658">
        <f aca="true" t="shared" si="17" ref="H29:M29">+H23</f>
        <v>308800</v>
      </c>
      <c r="I29" s="658">
        <f t="shared" si="17"/>
        <v>0</v>
      </c>
      <c r="J29" s="658">
        <f t="shared" si="17"/>
        <v>21616</v>
      </c>
      <c r="K29" s="658">
        <f t="shared" si="17"/>
        <v>31200</v>
      </c>
      <c r="L29" s="658">
        <f t="shared" si="17"/>
        <v>6000</v>
      </c>
      <c r="M29" s="658">
        <f t="shared" si="17"/>
        <v>0</v>
      </c>
      <c r="N29" s="656" t="e">
        <f>SUM(N23:N28)</f>
        <v>#N/A</v>
      </c>
      <c r="O29" s="676"/>
      <c r="P29" s="677"/>
      <c r="Q29" s="677"/>
      <c r="R29" s="677"/>
      <c r="S29" s="678"/>
      <c r="T29" s="679"/>
      <c r="U29" s="680"/>
      <c r="AA29" s="146"/>
      <c r="AB29" s="107"/>
      <c r="AC29" s="107"/>
      <c r="AD29" s="107"/>
      <c r="AE29" s="107"/>
      <c r="AF29" s="169"/>
      <c r="AG29" s="170"/>
      <c r="AH29" s="107"/>
      <c r="AI29" s="146"/>
      <c r="AJ29" s="107"/>
      <c r="AK29" s="107"/>
      <c r="AL29" s="382"/>
      <c r="AM29" s="382" t="s">
        <v>234</v>
      </c>
      <c r="AN29" s="382">
        <f>K29</f>
        <v>31200</v>
      </c>
      <c r="AO29" s="382"/>
      <c r="AP29" s="107"/>
      <c r="AQ29" s="107"/>
      <c r="AR29" s="430"/>
      <c r="AS29" s="431">
        <f>VLOOKUP(+S29,AR26:AS28,2)</f>
        <v>0</v>
      </c>
      <c r="AT29" s="107"/>
      <c r="AU29" s="430"/>
      <c r="AV29" s="431">
        <f>VLOOKUP(H201,AU26:AV28,2)</f>
        <v>0</v>
      </c>
      <c r="AW29" s="107"/>
      <c r="AX29" s="430"/>
      <c r="AY29" s="431">
        <f>VLOOKUP(S27,AX26:AY28,2)</f>
        <v>0</v>
      </c>
      <c r="AZ29" s="675"/>
      <c r="BA29" s="107"/>
      <c r="BB29" s="107"/>
      <c r="BC29" s="107"/>
      <c r="BD29" s="430"/>
      <c r="BE29" s="431">
        <f>VLOOKUP(H199,BD26:BE28,2)</f>
        <v>0</v>
      </c>
      <c r="BF29" s="107"/>
      <c r="BG29" s="107"/>
      <c r="BH29" s="107"/>
      <c r="BI29" s="136"/>
      <c r="BL29" s="575">
        <f>+BL28+1</f>
        <v>5</v>
      </c>
      <c r="BM29" s="88">
        <v>150</v>
      </c>
    </row>
    <row r="30" spans="5:65" ht="15.75">
      <c r="E30" s="32"/>
      <c r="G30" s="666"/>
      <c r="H30" s="666"/>
      <c r="I30" s="666"/>
      <c r="J30" s="666"/>
      <c r="K30" s="666"/>
      <c r="L30" s="666"/>
      <c r="M30" s="666"/>
      <c r="N30" s="681">
        <f>+'IT-STATEMENT-2021-2022 OLD'!O29</f>
        <v>418620</v>
      </c>
      <c r="O30" s="682"/>
      <c r="P30" s="683"/>
      <c r="Q30" s="683"/>
      <c r="R30" s="683"/>
      <c r="S30" s="684"/>
      <c r="T30" s="685"/>
      <c r="U30" s="686"/>
      <c r="AA30" s="107"/>
      <c r="AB30" s="107"/>
      <c r="AC30" s="107"/>
      <c r="AD30" s="107"/>
      <c r="AE30" s="107"/>
      <c r="AF30" s="169"/>
      <c r="AG30" s="170"/>
      <c r="AH30" s="107"/>
      <c r="AI30" s="107"/>
      <c r="AJ30" s="107"/>
      <c r="AK30" s="107"/>
      <c r="AL30" s="687"/>
      <c r="AM30" s="687"/>
      <c r="AN30" s="687"/>
      <c r="AO30" s="687"/>
      <c r="AP30" s="107"/>
      <c r="AQ30" s="107"/>
      <c r="AR30" s="107"/>
      <c r="AS30" s="133"/>
      <c r="AT30" s="107"/>
      <c r="AU30" s="107"/>
      <c r="AV30" s="133"/>
      <c r="AW30" s="107"/>
      <c r="AX30" s="107"/>
      <c r="AY30" s="133"/>
      <c r="AZ30" s="675"/>
      <c r="BA30" s="107"/>
      <c r="BB30" s="107"/>
      <c r="BC30" s="107"/>
      <c r="BD30" s="107"/>
      <c r="BE30" s="133"/>
      <c r="BF30" s="107"/>
      <c r="BG30" s="107"/>
      <c r="BH30" s="107"/>
      <c r="BI30" s="107"/>
      <c r="BL30" s="688"/>
      <c r="BM30" s="1"/>
    </row>
    <row r="31" spans="7:21" ht="12.75">
      <c r="G31" s="689"/>
      <c r="H31" s="689"/>
      <c r="I31" s="689"/>
      <c r="J31" s="689"/>
      <c r="K31" s="689"/>
      <c r="L31" s="689"/>
      <c r="M31" s="689"/>
      <c r="N31" s="899" t="e">
        <f>+N30-N29</f>
        <v>#N/A</v>
      </c>
      <c r="O31" s="689"/>
      <c r="P31" s="689"/>
      <c r="Q31" s="689"/>
      <c r="R31" s="689"/>
      <c r="S31" s="689"/>
      <c r="T31" s="689"/>
      <c r="U31" s="689"/>
    </row>
    <row r="32" spans="7:21" ht="12.75">
      <c r="G32" s="1783" t="s">
        <v>313</v>
      </c>
      <c r="H32" s="1783"/>
      <c r="I32" s="1783"/>
      <c r="J32" s="1783"/>
      <c r="K32" s="1783"/>
      <c r="L32" s="1783"/>
      <c r="M32" s="1783"/>
      <c r="N32" s="1783"/>
      <c r="O32" s="1783"/>
      <c r="P32" s="1783"/>
      <c r="Q32" s="1783"/>
      <c r="R32" s="1783"/>
      <c r="S32" s="689"/>
      <c r="T32" s="689"/>
      <c r="U32" s="689"/>
    </row>
    <row r="33" spans="7:33" ht="12.75" customHeight="1">
      <c r="G33" s="1757" t="s">
        <v>376</v>
      </c>
      <c r="H33" s="1757"/>
      <c r="I33" s="1757"/>
      <c r="J33" s="1757"/>
      <c r="K33" s="1757"/>
      <c r="L33" s="1757"/>
      <c r="M33" s="1757"/>
      <c r="N33" s="1757"/>
      <c r="O33" s="1757"/>
      <c r="P33" s="1757"/>
      <c r="Q33" s="1757"/>
      <c r="R33" s="1757"/>
      <c r="S33" s="1757"/>
      <c r="T33" s="1757"/>
      <c r="U33" s="1757"/>
      <c r="AB33" s="376" t="s">
        <v>230</v>
      </c>
      <c r="AC33" s="691" t="e">
        <f>+U78</f>
        <v>#N/A</v>
      </c>
      <c r="AD33">
        <v>0</v>
      </c>
      <c r="AE33">
        <v>5000</v>
      </c>
      <c r="AF33" s="692"/>
      <c r="AG33" s="160" t="e">
        <f>VLOOKUP(+AC33,AD33:AE34,2)</f>
        <v>#N/A</v>
      </c>
    </row>
    <row r="34" spans="7:31" ht="12.75" customHeight="1">
      <c r="G34" s="1757" t="s">
        <v>377</v>
      </c>
      <c r="H34" s="1757"/>
      <c r="I34" s="1757"/>
      <c r="J34" s="1757"/>
      <c r="K34" s="1757"/>
      <c r="L34" s="1757"/>
      <c r="M34" s="1757"/>
      <c r="N34" s="1757"/>
      <c r="O34" s="1757"/>
      <c r="P34" s="1757"/>
      <c r="Q34" s="1757"/>
      <c r="R34" s="1757"/>
      <c r="S34" s="1757"/>
      <c r="T34" s="1757"/>
      <c r="U34" s="1757"/>
      <c r="AD34">
        <v>500000</v>
      </c>
      <c r="AE34">
        <v>0</v>
      </c>
    </row>
    <row r="35" spans="7:21" ht="12.75" customHeight="1">
      <c r="G35" s="690"/>
      <c r="H35" s="690"/>
      <c r="I35" s="690"/>
      <c r="J35" s="690"/>
      <c r="K35" s="690"/>
      <c r="L35" s="690"/>
      <c r="M35" s="690"/>
      <c r="N35" s="690"/>
      <c r="O35" s="690"/>
      <c r="P35" s="690"/>
      <c r="Q35" s="690"/>
      <c r="R35" s="690"/>
      <c r="S35" s="690"/>
      <c r="T35" s="690"/>
      <c r="U35" s="690"/>
    </row>
    <row r="36" spans="7:42" ht="12.75" customHeight="1">
      <c r="G36" s="1758"/>
      <c r="H36" s="1758"/>
      <c r="I36" s="1758"/>
      <c r="J36" s="1758"/>
      <c r="K36" s="1758"/>
      <c r="L36" s="1758"/>
      <c r="M36" s="1758"/>
      <c r="N36" s="1758"/>
      <c r="O36" s="1758"/>
      <c r="P36" s="1758"/>
      <c r="Q36" s="1758"/>
      <c r="R36" s="1758"/>
      <c r="S36" s="689"/>
      <c r="T36" s="689"/>
      <c r="U36" s="689"/>
      <c r="AC36" s="597">
        <v>0</v>
      </c>
      <c r="AD36">
        <v>0</v>
      </c>
      <c r="AF36" s="597">
        <v>1</v>
      </c>
      <c r="AG36" s="597">
        <v>12</v>
      </c>
      <c r="AH36" s="597">
        <v>11</v>
      </c>
      <c r="AI36" s="597">
        <f>+AH36-1</f>
        <v>10</v>
      </c>
      <c r="AJ36" s="597">
        <f aca="true" t="shared" si="18" ref="AJ36:AP36">+AI36-1</f>
        <v>9</v>
      </c>
      <c r="AK36" s="597">
        <f t="shared" si="18"/>
        <v>8</v>
      </c>
      <c r="AL36" s="597">
        <f t="shared" si="18"/>
        <v>7</v>
      </c>
      <c r="AM36" s="597">
        <f t="shared" si="18"/>
        <v>6</v>
      </c>
      <c r="AN36" s="597">
        <f t="shared" si="18"/>
        <v>5</v>
      </c>
      <c r="AO36" s="597">
        <f t="shared" si="18"/>
        <v>4</v>
      </c>
      <c r="AP36" s="597">
        <f t="shared" si="18"/>
        <v>3</v>
      </c>
    </row>
    <row r="37" spans="7:42" ht="12.75" customHeight="1">
      <c r="G37" s="1771" t="s">
        <v>314</v>
      </c>
      <c r="H37" s="1771"/>
      <c r="I37" s="1771"/>
      <c r="J37" s="1772" t="e">
        <f>+U88</f>
        <v>#N/A</v>
      </c>
      <c r="K37" s="1773"/>
      <c r="L37" s="693"/>
      <c r="M37" s="693"/>
      <c r="N37" s="693"/>
      <c r="P37" s="694"/>
      <c r="Q37" s="694"/>
      <c r="R37" s="694"/>
      <c r="S37" s="694"/>
      <c r="T37" s="694"/>
      <c r="U37" s="689"/>
      <c r="AB37">
        <f aca="true" t="shared" si="19" ref="AB37:AB47">+U8</f>
        <v>0</v>
      </c>
      <c r="AC37" s="695">
        <v>42795</v>
      </c>
      <c r="AD37">
        <f>+AP48</f>
        <v>0</v>
      </c>
      <c r="AE37">
        <v>3</v>
      </c>
      <c r="AF37">
        <f>+U8</f>
        <v>0</v>
      </c>
      <c r="AG37">
        <f aca="true" t="shared" si="20" ref="AG37:AP37">+AF37</f>
        <v>0</v>
      </c>
      <c r="AH37">
        <f t="shared" si="20"/>
        <v>0</v>
      </c>
      <c r="AI37">
        <f t="shared" si="20"/>
        <v>0</v>
      </c>
      <c r="AJ37">
        <f t="shared" si="20"/>
        <v>0</v>
      </c>
      <c r="AK37">
        <f t="shared" si="20"/>
        <v>0</v>
      </c>
      <c r="AL37">
        <f t="shared" si="20"/>
        <v>0</v>
      </c>
      <c r="AM37">
        <f t="shared" si="20"/>
        <v>0</v>
      </c>
      <c r="AN37">
        <f t="shared" si="20"/>
        <v>0</v>
      </c>
      <c r="AO37">
        <f t="shared" si="20"/>
        <v>0</v>
      </c>
      <c r="AP37">
        <f t="shared" si="20"/>
        <v>0</v>
      </c>
    </row>
    <row r="38" spans="7:41" ht="16.5" thickBot="1">
      <c r="G38" s="1774" t="s">
        <v>312</v>
      </c>
      <c r="H38" s="1774"/>
      <c r="I38" s="1774"/>
      <c r="J38" s="1788">
        <f>+'IT-STATEMENT-2021-2022 OLD'!O53</f>
        <v>0</v>
      </c>
      <c r="K38" s="1789"/>
      <c r="O38" s="694" t="s">
        <v>315</v>
      </c>
      <c r="P38" s="693"/>
      <c r="Q38" s="693"/>
      <c r="R38" s="693"/>
      <c r="S38" s="693"/>
      <c r="T38" s="693"/>
      <c r="U38" s="689"/>
      <c r="AB38">
        <f t="shared" si="19"/>
        <v>0</v>
      </c>
      <c r="AC38" s="695">
        <v>42826</v>
      </c>
      <c r="AD38">
        <f>+AO48</f>
        <v>0</v>
      </c>
      <c r="AE38">
        <f>+AE37+1</f>
        <v>4</v>
      </c>
      <c r="AF38">
        <f aca="true" t="shared" si="21" ref="AF38:AF47">+U9</f>
        <v>0</v>
      </c>
      <c r="AG38">
        <f aca="true" t="shared" si="22" ref="AG38:AO38">+AF38</f>
        <v>0</v>
      </c>
      <c r="AH38">
        <f t="shared" si="22"/>
        <v>0</v>
      </c>
      <c r="AI38">
        <f t="shared" si="22"/>
        <v>0</v>
      </c>
      <c r="AJ38">
        <f t="shared" si="22"/>
        <v>0</v>
      </c>
      <c r="AK38">
        <f t="shared" si="22"/>
        <v>0</v>
      </c>
      <c r="AL38">
        <f t="shared" si="22"/>
        <v>0</v>
      </c>
      <c r="AM38">
        <f t="shared" si="22"/>
        <v>0</v>
      </c>
      <c r="AN38">
        <f t="shared" si="22"/>
        <v>0</v>
      </c>
      <c r="AO38">
        <f t="shared" si="22"/>
        <v>0</v>
      </c>
    </row>
    <row r="39" spans="7:40" ht="16.5" thickBot="1">
      <c r="G39" s="1790" t="s">
        <v>316</v>
      </c>
      <c r="H39" s="1790"/>
      <c r="I39" s="1790"/>
      <c r="J39" s="1791" t="e">
        <f>+J37-J38</f>
        <v>#N/A</v>
      </c>
      <c r="K39" s="1791"/>
      <c r="O39" s="694" t="s">
        <v>317</v>
      </c>
      <c r="P39" s="694"/>
      <c r="Q39" s="1792" t="str">
        <f>+H4</f>
        <v>JE-II</v>
      </c>
      <c r="R39" s="1792"/>
      <c r="S39" s="1792"/>
      <c r="T39" s="1792"/>
      <c r="U39" s="689"/>
      <c r="AB39">
        <f t="shared" si="19"/>
        <v>0</v>
      </c>
      <c r="AC39" s="695">
        <v>42856</v>
      </c>
      <c r="AD39">
        <f>+AN48</f>
        <v>0</v>
      </c>
      <c r="AE39">
        <f aca="true" t="shared" si="23" ref="AE39:AE46">+AE38+1</f>
        <v>5</v>
      </c>
      <c r="AF39">
        <f t="shared" si="21"/>
        <v>0</v>
      </c>
      <c r="AG39">
        <f aca="true" t="shared" si="24" ref="AG39:AN39">+AF39</f>
        <v>0</v>
      </c>
      <c r="AH39">
        <f t="shared" si="24"/>
        <v>0</v>
      </c>
      <c r="AI39">
        <f t="shared" si="24"/>
        <v>0</v>
      </c>
      <c r="AJ39">
        <f t="shared" si="24"/>
        <v>0</v>
      </c>
      <c r="AK39">
        <f t="shared" si="24"/>
        <v>0</v>
      </c>
      <c r="AL39">
        <f t="shared" si="24"/>
        <v>0</v>
      </c>
      <c r="AM39">
        <f t="shared" si="24"/>
        <v>0</v>
      </c>
      <c r="AN39">
        <f t="shared" si="24"/>
        <v>0</v>
      </c>
    </row>
    <row r="40" spans="7:39" ht="12.75">
      <c r="G40" s="696"/>
      <c r="H40" s="696"/>
      <c r="I40" s="697"/>
      <c r="J40" s="696"/>
      <c r="Q40" s="1792"/>
      <c r="R40" s="1792"/>
      <c r="S40" s="1792"/>
      <c r="T40" s="1792"/>
      <c r="U40" s="689"/>
      <c r="AB40">
        <f t="shared" si="19"/>
        <v>0</v>
      </c>
      <c r="AC40" s="695">
        <v>42887</v>
      </c>
      <c r="AD40">
        <f>+AM48</f>
        <v>0</v>
      </c>
      <c r="AE40">
        <f t="shared" si="23"/>
        <v>6</v>
      </c>
      <c r="AF40">
        <f t="shared" si="21"/>
        <v>0</v>
      </c>
      <c r="AG40">
        <f aca="true" t="shared" si="25" ref="AG40:AM40">+AF40</f>
        <v>0</v>
      </c>
      <c r="AH40">
        <f t="shared" si="25"/>
        <v>0</v>
      </c>
      <c r="AI40">
        <f t="shared" si="25"/>
        <v>0</v>
      </c>
      <c r="AJ40">
        <f t="shared" si="25"/>
        <v>0</v>
      </c>
      <c r="AK40">
        <f t="shared" si="25"/>
        <v>0</v>
      </c>
      <c r="AL40">
        <f t="shared" si="25"/>
        <v>0</v>
      </c>
      <c r="AM40">
        <f t="shared" si="25"/>
        <v>0</v>
      </c>
    </row>
    <row r="41" spans="7:38" ht="12.75">
      <c r="G41" s="689"/>
      <c r="H41" s="689"/>
      <c r="I41" s="689"/>
      <c r="J41" s="689"/>
      <c r="K41" s="689"/>
      <c r="L41" s="689"/>
      <c r="M41" s="689"/>
      <c r="N41" s="689"/>
      <c r="O41" s="689"/>
      <c r="P41" s="689"/>
      <c r="Q41" s="689"/>
      <c r="R41" s="689"/>
      <c r="S41" s="689"/>
      <c r="T41" s="689"/>
      <c r="U41" s="689"/>
      <c r="AB41">
        <f t="shared" si="19"/>
        <v>0</v>
      </c>
      <c r="AC41" s="695">
        <v>42917</v>
      </c>
      <c r="AD41">
        <f>+AL48</f>
        <v>0</v>
      </c>
      <c r="AE41">
        <f t="shared" si="23"/>
        <v>7</v>
      </c>
      <c r="AF41">
        <f t="shared" si="21"/>
        <v>0</v>
      </c>
      <c r="AG41">
        <f aca="true" t="shared" si="26" ref="AG41:AL41">+AF41</f>
        <v>0</v>
      </c>
      <c r="AH41">
        <f t="shared" si="26"/>
        <v>0</v>
      </c>
      <c r="AI41">
        <f t="shared" si="26"/>
        <v>0</v>
      </c>
      <c r="AJ41">
        <f t="shared" si="26"/>
        <v>0</v>
      </c>
      <c r="AK41">
        <f t="shared" si="26"/>
        <v>0</v>
      </c>
      <c r="AL41">
        <f t="shared" si="26"/>
        <v>0</v>
      </c>
    </row>
    <row r="42" spans="7:37" ht="15">
      <c r="G42" s="1793" t="s">
        <v>375</v>
      </c>
      <c r="H42" s="1793"/>
      <c r="I42" s="1793"/>
      <c r="J42" s="1793"/>
      <c r="K42" s="1793"/>
      <c r="L42" s="1793"/>
      <c r="M42" s="1793"/>
      <c r="N42" s="1793"/>
      <c r="O42" s="1793"/>
      <c r="P42" s="1793"/>
      <c r="Q42" s="1793"/>
      <c r="R42" s="1793"/>
      <c r="S42" s="1793"/>
      <c r="T42" s="1793"/>
      <c r="U42" s="1793"/>
      <c r="AB42">
        <f t="shared" si="19"/>
        <v>0</v>
      </c>
      <c r="AC42" s="695">
        <v>42948</v>
      </c>
      <c r="AD42">
        <f>+AK48</f>
        <v>0</v>
      </c>
      <c r="AE42">
        <f t="shared" si="23"/>
        <v>8</v>
      </c>
      <c r="AF42">
        <f t="shared" si="21"/>
        <v>0</v>
      </c>
      <c r="AG42">
        <f>+AF42</f>
        <v>0</v>
      </c>
      <c r="AH42">
        <f>+AG42</f>
        <v>0</v>
      </c>
      <c r="AI42">
        <f>+AH42</f>
        <v>0</v>
      </c>
      <c r="AJ42">
        <f>+AI42</f>
        <v>0</v>
      </c>
      <c r="AK42">
        <f>+AJ42</f>
        <v>0</v>
      </c>
    </row>
    <row r="43" spans="7:36" ht="15">
      <c r="G43" s="1794" t="s">
        <v>318</v>
      </c>
      <c r="H43" s="1794"/>
      <c r="I43" s="1794" t="str">
        <f>+H3</f>
        <v>S.BALAJI</v>
      </c>
      <c r="J43" s="1794"/>
      <c r="K43" s="1794"/>
      <c r="L43" s="1794"/>
      <c r="M43" s="699"/>
      <c r="N43" s="699"/>
      <c r="O43" s="700"/>
      <c r="P43" s="700"/>
      <c r="Q43" s="700"/>
      <c r="R43" s="700"/>
      <c r="S43" s="689"/>
      <c r="T43" s="689"/>
      <c r="U43" s="689"/>
      <c r="AB43">
        <f t="shared" si="19"/>
        <v>0</v>
      </c>
      <c r="AC43" s="695">
        <v>42979</v>
      </c>
      <c r="AD43">
        <f>+AJ48</f>
        <v>0</v>
      </c>
      <c r="AE43">
        <f t="shared" si="23"/>
        <v>9</v>
      </c>
      <c r="AF43">
        <f t="shared" si="21"/>
        <v>0</v>
      </c>
      <c r="AG43">
        <f>+AF43</f>
        <v>0</v>
      </c>
      <c r="AH43">
        <f>+AG43</f>
        <v>0</v>
      </c>
      <c r="AI43">
        <f>+AH43</f>
        <v>0</v>
      </c>
      <c r="AJ43">
        <f>+AI43</f>
        <v>0</v>
      </c>
    </row>
    <row r="44" spans="7:35" ht="12.75">
      <c r="G44" s="698" t="s">
        <v>319</v>
      </c>
      <c r="H44" s="701"/>
      <c r="I44" s="1794" t="str">
        <f>+H4</f>
        <v>JE-II</v>
      </c>
      <c r="J44" s="1794"/>
      <c r="K44" s="1794"/>
      <c r="L44" s="1794"/>
      <c r="M44" s="702"/>
      <c r="N44" s="702"/>
      <c r="O44" s="700"/>
      <c r="P44" s="700"/>
      <c r="Q44" s="700"/>
      <c r="R44" s="700"/>
      <c r="S44" s="689"/>
      <c r="T44" s="689"/>
      <c r="U44" s="689"/>
      <c r="AB44">
        <f t="shared" si="19"/>
        <v>0</v>
      </c>
      <c r="AC44" s="695">
        <v>43009</v>
      </c>
      <c r="AD44">
        <f>+AI48</f>
        <v>0</v>
      </c>
      <c r="AE44">
        <f t="shared" si="23"/>
        <v>10</v>
      </c>
      <c r="AF44">
        <f t="shared" si="21"/>
        <v>0</v>
      </c>
      <c r="AG44">
        <f>+AF44</f>
        <v>0</v>
      </c>
      <c r="AH44">
        <f>+AG44</f>
        <v>0</v>
      </c>
      <c r="AI44">
        <f>+AH44</f>
        <v>0</v>
      </c>
    </row>
    <row r="45" spans="7:34" ht="12.75">
      <c r="G45" s="700"/>
      <c r="H45" s="700"/>
      <c r="I45" s="703"/>
      <c r="J45" s="700"/>
      <c r="K45" s="700"/>
      <c r="L45" s="700"/>
      <c r="M45" s="1795"/>
      <c r="N45" s="1795"/>
      <c r="O45" s="1795"/>
      <c r="P45" s="700"/>
      <c r="Q45" s="700"/>
      <c r="R45" s="700"/>
      <c r="S45" s="689"/>
      <c r="T45" s="689"/>
      <c r="U45" s="689"/>
      <c r="AB45">
        <f t="shared" si="19"/>
        <v>0</v>
      </c>
      <c r="AC45" s="695">
        <v>43040</v>
      </c>
      <c r="AD45">
        <f>+AH48</f>
        <v>0</v>
      </c>
      <c r="AE45">
        <f t="shared" si="23"/>
        <v>11</v>
      </c>
      <c r="AF45">
        <f t="shared" si="21"/>
        <v>0</v>
      </c>
      <c r="AG45">
        <f>+AF45</f>
        <v>0</v>
      </c>
      <c r="AH45">
        <f>+AG45</f>
        <v>0</v>
      </c>
    </row>
    <row r="46" spans="7:33" ht="14.25">
      <c r="G46" s="704" t="s">
        <v>84</v>
      </c>
      <c r="H46" s="584" t="s">
        <v>36</v>
      </c>
      <c r="I46" s="584"/>
      <c r="J46" s="584" t="s">
        <v>85</v>
      </c>
      <c r="K46" s="1796">
        <f>+H29</f>
        <v>308800</v>
      </c>
      <c r="L46" s="1796"/>
      <c r="N46" s="1797" t="s">
        <v>320</v>
      </c>
      <c r="O46" s="1798"/>
      <c r="P46" s="1799"/>
      <c r="Q46" s="1800"/>
      <c r="R46" s="1801"/>
      <c r="S46" s="705" t="s">
        <v>36</v>
      </c>
      <c r="T46" s="345" t="s">
        <v>85</v>
      </c>
      <c r="U46" s="706">
        <f>+'IT-STATEMENT-2021-2022 OLD'!C13*12</f>
        <v>99600</v>
      </c>
      <c r="AB46">
        <f t="shared" si="19"/>
        <v>0</v>
      </c>
      <c r="AC46" s="695">
        <v>43070</v>
      </c>
      <c r="AD46">
        <f>+AG48</f>
        <v>0</v>
      </c>
      <c r="AE46">
        <f t="shared" si="23"/>
        <v>12</v>
      </c>
      <c r="AF46">
        <f t="shared" si="21"/>
        <v>0</v>
      </c>
      <c r="AG46">
        <f>+AF46</f>
        <v>0</v>
      </c>
    </row>
    <row r="47" spans="7:42" ht="12.75">
      <c r="G47" s="707" t="s">
        <v>321</v>
      </c>
      <c r="H47" s="584"/>
      <c r="I47" s="584"/>
      <c r="J47" s="584"/>
      <c r="K47" s="1796">
        <f>+I29</f>
        <v>0</v>
      </c>
      <c r="L47" s="1796"/>
      <c r="N47" s="1802" t="s">
        <v>322</v>
      </c>
      <c r="O47" s="1802"/>
      <c r="P47" s="1802"/>
      <c r="Q47" s="1802"/>
      <c r="R47" s="1802"/>
      <c r="S47" s="705" t="s">
        <v>36</v>
      </c>
      <c r="T47" s="345" t="s">
        <v>85</v>
      </c>
      <c r="U47" s="706">
        <f>K46+K47+K48</f>
        <v>330416</v>
      </c>
      <c r="AB47">
        <f t="shared" si="19"/>
        <v>0</v>
      </c>
      <c r="AC47" s="695">
        <v>43101</v>
      </c>
      <c r="AD47">
        <f>+AF48</f>
        <v>0</v>
      </c>
      <c r="AE47">
        <v>1</v>
      </c>
      <c r="AF47" s="708">
        <f t="shared" si="21"/>
        <v>0</v>
      </c>
      <c r="AG47" s="708"/>
      <c r="AH47" s="708"/>
      <c r="AI47" s="708"/>
      <c r="AJ47" s="708"/>
      <c r="AK47" s="708"/>
      <c r="AL47" s="708"/>
      <c r="AM47" s="708"/>
      <c r="AN47" s="708"/>
      <c r="AO47" s="708"/>
      <c r="AP47" s="708"/>
    </row>
    <row r="48" spans="7:42" ht="13.5" thickBot="1">
      <c r="G48" s="704" t="s">
        <v>15</v>
      </c>
      <c r="H48" s="584" t="s">
        <v>36</v>
      </c>
      <c r="I48" s="584"/>
      <c r="J48" s="584" t="s">
        <v>85</v>
      </c>
      <c r="K48" s="1796">
        <f>+J29</f>
        <v>21616</v>
      </c>
      <c r="L48" s="1796"/>
      <c r="N48" s="1802" t="s">
        <v>323</v>
      </c>
      <c r="O48" s="1802"/>
      <c r="P48" s="1802"/>
      <c r="Q48" s="1802"/>
      <c r="R48" s="1802"/>
      <c r="S48" s="705" t="s">
        <v>36</v>
      </c>
      <c r="T48" s="345" t="s">
        <v>85</v>
      </c>
      <c r="U48" s="706">
        <f>ROUND(U47*0.1,0)</f>
        <v>33042</v>
      </c>
      <c r="AF48" s="709">
        <f>SUM(AF37:AF47)</f>
        <v>0</v>
      </c>
      <c r="AG48" s="709">
        <f aca="true" t="shared" si="27" ref="AG48:AP48">SUM(AG37:AG47)</f>
        <v>0</v>
      </c>
      <c r="AH48" s="709">
        <f t="shared" si="27"/>
        <v>0</v>
      </c>
      <c r="AI48" s="709">
        <f t="shared" si="27"/>
        <v>0</v>
      </c>
      <c r="AJ48" s="709">
        <f t="shared" si="27"/>
        <v>0</v>
      </c>
      <c r="AK48" s="709">
        <f t="shared" si="27"/>
        <v>0</v>
      </c>
      <c r="AL48" s="709">
        <f t="shared" si="27"/>
        <v>0</v>
      </c>
      <c r="AM48" s="709">
        <f t="shared" si="27"/>
        <v>0</v>
      </c>
      <c r="AN48" s="709">
        <f t="shared" si="27"/>
        <v>0</v>
      </c>
      <c r="AO48" s="709">
        <f t="shared" si="27"/>
        <v>0</v>
      </c>
      <c r="AP48" s="709">
        <f t="shared" si="27"/>
        <v>0</v>
      </c>
    </row>
    <row r="49" spans="7:30" ht="12.75" customHeight="1" thickBot="1">
      <c r="G49" s="704" t="s">
        <v>16</v>
      </c>
      <c r="H49" s="584" t="s">
        <v>36</v>
      </c>
      <c r="I49" s="584"/>
      <c r="J49" s="584" t="s">
        <v>85</v>
      </c>
      <c r="K49" s="1796">
        <f>+K29</f>
        <v>31200</v>
      </c>
      <c r="L49" s="1796"/>
      <c r="N49" s="1803" t="s">
        <v>324</v>
      </c>
      <c r="O49" s="1803"/>
      <c r="P49" s="1803"/>
      <c r="Q49" s="1803"/>
      <c r="R49" s="1803"/>
      <c r="S49" s="705" t="s">
        <v>36</v>
      </c>
      <c r="T49" s="345" t="s">
        <v>85</v>
      </c>
      <c r="U49" s="706">
        <f>IF((U47-U48)&lt;0,0,(U47-U48))</f>
        <v>297374</v>
      </c>
      <c r="AB49" s="635">
        <f>SUM(AB37:AB48)</f>
        <v>0</v>
      </c>
      <c r="AD49">
        <f>VLOOKUP(X3,AC36:AD47,2)</f>
        <v>0</v>
      </c>
    </row>
    <row r="50" spans="7:21" ht="12.75" customHeight="1">
      <c r="G50" s="704" t="s">
        <v>17</v>
      </c>
      <c r="H50" s="584" t="s">
        <v>36</v>
      </c>
      <c r="I50" s="584"/>
      <c r="J50" s="584" t="s">
        <v>85</v>
      </c>
      <c r="K50" s="1796">
        <f>+L29</f>
        <v>6000</v>
      </c>
      <c r="L50" s="1796"/>
      <c r="N50" s="1803" t="s">
        <v>325</v>
      </c>
      <c r="O50" s="1803"/>
      <c r="P50" s="1803"/>
      <c r="Q50" s="1803"/>
      <c r="R50" s="1803"/>
      <c r="S50" s="705" t="s">
        <v>36</v>
      </c>
      <c r="T50" s="345" t="s">
        <v>85</v>
      </c>
      <c r="U50" s="706">
        <f>+K49</f>
        <v>31200</v>
      </c>
    </row>
    <row r="51" spans="7:32" ht="13.5" customHeight="1" thickBot="1">
      <c r="G51" s="710" t="s">
        <v>326</v>
      </c>
      <c r="H51" s="584" t="s">
        <v>36</v>
      </c>
      <c r="I51" s="584"/>
      <c r="J51" s="584" t="s">
        <v>85</v>
      </c>
      <c r="K51" s="1796" t="e">
        <f>+M29+N24+N25+N26+N27+N28+N21+N22</f>
        <v>#N/A</v>
      </c>
      <c r="L51" s="1796"/>
      <c r="N51" s="1803" t="s">
        <v>327</v>
      </c>
      <c r="O51" s="1803"/>
      <c r="P51" s="1803"/>
      <c r="Q51" s="1803"/>
      <c r="R51" s="1803"/>
      <c r="S51" s="711" t="s">
        <v>36</v>
      </c>
      <c r="T51" s="712" t="s">
        <v>85</v>
      </c>
      <c r="U51" s="713">
        <f>U47*0.5</f>
        <v>165208</v>
      </c>
      <c r="AF51" s="695">
        <v>42795</v>
      </c>
    </row>
    <row r="52" spans="7:32" ht="13.5" customHeight="1" thickBot="1">
      <c r="G52" s="704" t="s">
        <v>328</v>
      </c>
      <c r="H52" s="584" t="s">
        <v>36</v>
      </c>
      <c r="I52" s="584"/>
      <c r="J52" s="584" t="s">
        <v>85</v>
      </c>
      <c r="K52" s="1796" t="e">
        <f>SUM(K46:K51)</f>
        <v>#N/A</v>
      </c>
      <c r="L52" s="1796"/>
      <c r="N52" s="1803" t="s">
        <v>378</v>
      </c>
      <c r="O52" s="1803"/>
      <c r="P52" s="1803"/>
      <c r="Q52" s="1803"/>
      <c r="R52" s="1803"/>
      <c r="S52" s="714" t="s">
        <v>36</v>
      </c>
      <c r="T52" s="715" t="s">
        <v>85</v>
      </c>
      <c r="U52" s="716">
        <f>IF(MIN(U49:U51)&gt;U46,U46,MIN(U49:U51))</f>
        <v>31200</v>
      </c>
      <c r="AF52" s="695">
        <v>42826</v>
      </c>
    </row>
    <row r="53" spans="7:32" ht="15">
      <c r="G53" s="1804" t="s">
        <v>329</v>
      </c>
      <c r="H53" s="1804"/>
      <c r="I53" s="1804"/>
      <c r="J53" s="1804"/>
      <c r="K53" s="1804"/>
      <c r="L53" s="1804"/>
      <c r="M53" s="1804"/>
      <c r="N53" s="1804"/>
      <c r="O53" s="1804"/>
      <c r="P53" s="1804"/>
      <c r="Q53" s="1804"/>
      <c r="R53" s="1804"/>
      <c r="S53" s="1804"/>
      <c r="T53" s="1804"/>
      <c r="U53" s="1804"/>
      <c r="AF53" s="695">
        <v>42856</v>
      </c>
    </row>
    <row r="54" spans="7:32" ht="12.75">
      <c r="G54" s="1805" t="s">
        <v>330</v>
      </c>
      <c r="H54" s="1806"/>
      <c r="I54" s="1806"/>
      <c r="J54" s="1806"/>
      <c r="K54" s="1806"/>
      <c r="L54" s="1806"/>
      <c r="M54" s="1806"/>
      <c r="N54" s="1806"/>
      <c r="O54" s="1806"/>
      <c r="P54" s="1806"/>
      <c r="Q54" s="1806"/>
      <c r="R54" s="1806"/>
      <c r="S54" s="717" t="s">
        <v>36</v>
      </c>
      <c r="T54" s="718" t="s">
        <v>85</v>
      </c>
      <c r="U54" s="719">
        <f>+O23</f>
        <v>0</v>
      </c>
      <c r="AF54" s="695">
        <v>42887</v>
      </c>
    </row>
    <row r="55" spans="7:32" ht="12.75">
      <c r="G55" s="1807" t="s">
        <v>331</v>
      </c>
      <c r="H55" s="1808"/>
      <c r="I55" s="1808"/>
      <c r="J55" s="1808"/>
      <c r="K55" s="1808"/>
      <c r="L55" s="1808"/>
      <c r="M55" s="1808"/>
      <c r="N55" s="1808"/>
      <c r="O55" s="1808"/>
      <c r="P55" s="1808"/>
      <c r="Q55" s="1808"/>
      <c r="R55" s="1808"/>
      <c r="S55" s="720" t="s">
        <v>36</v>
      </c>
      <c r="T55" s="721" t="s">
        <v>85</v>
      </c>
      <c r="U55" s="722">
        <f>+P23</f>
        <v>2400</v>
      </c>
      <c r="AF55" s="695">
        <v>42917</v>
      </c>
    </row>
    <row r="56" spans="7:32" ht="12.75">
      <c r="G56" s="1809" t="s">
        <v>332</v>
      </c>
      <c r="H56" s="1810"/>
      <c r="I56" s="1810"/>
      <c r="J56" s="1810"/>
      <c r="K56" s="1810"/>
      <c r="L56" s="1810"/>
      <c r="M56" s="1810"/>
      <c r="N56" s="1810"/>
      <c r="O56" s="1810"/>
      <c r="P56" s="1810"/>
      <c r="Q56" s="1810"/>
      <c r="R56" s="1810"/>
      <c r="S56" s="723" t="s">
        <v>36</v>
      </c>
      <c r="T56" s="724" t="s">
        <v>85</v>
      </c>
      <c r="U56" s="725">
        <v>0</v>
      </c>
      <c r="AF56" s="695">
        <v>42948</v>
      </c>
    </row>
    <row r="57" spans="7:32" ht="12.75">
      <c r="G57" s="1807" t="s">
        <v>333</v>
      </c>
      <c r="H57" s="1808"/>
      <c r="I57" s="1808"/>
      <c r="J57" s="1808"/>
      <c r="K57" s="1808"/>
      <c r="L57" s="1808"/>
      <c r="M57" s="1808"/>
      <c r="N57" s="1808"/>
      <c r="O57" s="1808"/>
      <c r="P57" s="1808"/>
      <c r="Q57" s="1808"/>
      <c r="R57" s="1808"/>
      <c r="S57" s="720" t="s">
        <v>36</v>
      </c>
      <c r="T57" s="721" t="s">
        <v>85</v>
      </c>
      <c r="U57" s="722">
        <f>+R23</f>
        <v>0</v>
      </c>
      <c r="AF57" s="695">
        <v>42979</v>
      </c>
    </row>
    <row r="58" spans="7:32" ht="12.75">
      <c r="G58" s="1809" t="s">
        <v>334</v>
      </c>
      <c r="H58" s="1810"/>
      <c r="I58" s="1810"/>
      <c r="J58" s="1810"/>
      <c r="K58" s="1810"/>
      <c r="L58" s="1810"/>
      <c r="M58" s="1810"/>
      <c r="N58" s="1810"/>
      <c r="O58" s="1810"/>
      <c r="P58" s="1810"/>
      <c r="Q58" s="1810"/>
      <c r="R58" s="1810"/>
      <c r="S58" s="723" t="s">
        <v>36</v>
      </c>
      <c r="T58" s="724" t="s">
        <v>85</v>
      </c>
      <c r="U58" s="725">
        <v>0</v>
      </c>
      <c r="AF58" s="695">
        <v>43009</v>
      </c>
    </row>
    <row r="59" spans="7:32" ht="12.75">
      <c r="G59" s="1807" t="s">
        <v>335</v>
      </c>
      <c r="H59" s="1808"/>
      <c r="I59" s="1808"/>
      <c r="J59" s="1808"/>
      <c r="K59" s="1808"/>
      <c r="L59" s="1808"/>
      <c r="M59" s="1808"/>
      <c r="N59" s="1808"/>
      <c r="O59" s="1808"/>
      <c r="P59" s="1808"/>
      <c r="Q59" s="1808"/>
      <c r="R59" s="1808"/>
      <c r="S59" s="720" t="s">
        <v>36</v>
      </c>
      <c r="T59" s="721" t="s">
        <v>85</v>
      </c>
      <c r="U59" s="722">
        <f>+Q23</f>
        <v>0</v>
      </c>
      <c r="AF59" s="695">
        <v>43040</v>
      </c>
    </row>
    <row r="60" spans="7:32" ht="12.75">
      <c r="G60" s="1809" t="s">
        <v>336</v>
      </c>
      <c r="H60" s="1810"/>
      <c r="I60" s="1810"/>
      <c r="J60" s="1810"/>
      <c r="K60" s="1810"/>
      <c r="L60" s="1810"/>
      <c r="M60" s="1810"/>
      <c r="N60" s="1810"/>
      <c r="O60" s="1810"/>
      <c r="P60" s="1810"/>
      <c r="Q60" s="1810"/>
      <c r="R60" s="1810"/>
      <c r="S60" s="723" t="s">
        <v>36</v>
      </c>
      <c r="T60" s="724" t="s">
        <v>85</v>
      </c>
      <c r="U60" s="725">
        <v>0</v>
      </c>
      <c r="AF60" s="695">
        <v>43070</v>
      </c>
    </row>
    <row r="61" spans="7:32" ht="12.75">
      <c r="G61" s="1809" t="s">
        <v>337</v>
      </c>
      <c r="H61" s="1810"/>
      <c r="I61" s="1810"/>
      <c r="J61" s="1810"/>
      <c r="K61" s="1810"/>
      <c r="L61" s="1810"/>
      <c r="M61" s="1810"/>
      <c r="N61" s="1810"/>
      <c r="O61" s="1810"/>
      <c r="P61" s="1810"/>
      <c r="Q61" s="1810"/>
      <c r="R61" s="1810"/>
      <c r="S61" s="723" t="s">
        <v>36</v>
      </c>
      <c r="T61" s="724" t="s">
        <v>85</v>
      </c>
      <c r="U61" s="898">
        <f>+'IT-STATEMENT-2021-2022 OLD'!V32</f>
        <v>10000</v>
      </c>
      <c r="AF61" s="695">
        <v>43101</v>
      </c>
    </row>
    <row r="62" spans="7:32" ht="12.75">
      <c r="G62" s="1809" t="s">
        <v>338</v>
      </c>
      <c r="H62" s="1810"/>
      <c r="I62" s="1810"/>
      <c r="J62" s="1810"/>
      <c r="K62" s="1810"/>
      <c r="L62" s="1810"/>
      <c r="M62" s="1810"/>
      <c r="N62" s="1810"/>
      <c r="O62" s="1810"/>
      <c r="P62" s="1810"/>
      <c r="Q62" s="1810"/>
      <c r="R62" s="1810"/>
      <c r="S62" s="723" t="s">
        <v>36</v>
      </c>
      <c r="T62" s="724" t="s">
        <v>85</v>
      </c>
      <c r="U62" s="898">
        <f>+'IT-STATEMENT-2021-2022 OLD'!V37</f>
        <v>0</v>
      </c>
      <c r="AF62" s="695"/>
    </row>
    <row r="63" spans="7:21" ht="12.75">
      <c r="G63" s="1811" t="s">
        <v>339</v>
      </c>
      <c r="H63" s="1812"/>
      <c r="I63" s="1812"/>
      <c r="J63" s="1812"/>
      <c r="K63" s="1812"/>
      <c r="L63" s="1812"/>
      <c r="M63" s="1812"/>
      <c r="N63" s="1812"/>
      <c r="O63" s="1812"/>
      <c r="P63" s="1812"/>
      <c r="Q63" s="1812"/>
      <c r="R63" s="1812"/>
      <c r="S63" s="723" t="s">
        <v>36</v>
      </c>
      <c r="T63" s="724" t="s">
        <v>85</v>
      </c>
      <c r="U63" s="898">
        <v>0</v>
      </c>
    </row>
    <row r="64" spans="7:21" ht="13.5" thickBot="1">
      <c r="G64" s="1811" t="s">
        <v>340</v>
      </c>
      <c r="H64" s="1812"/>
      <c r="I64" s="1812"/>
      <c r="J64" s="1812"/>
      <c r="K64" s="1812"/>
      <c r="L64" s="1812"/>
      <c r="M64" s="1812"/>
      <c r="N64" s="1812"/>
      <c r="O64" s="1812"/>
      <c r="P64" s="1812"/>
      <c r="Q64" s="1812"/>
      <c r="R64" s="1812"/>
      <c r="S64" s="723" t="s">
        <v>36</v>
      </c>
      <c r="T64" s="724" t="s">
        <v>85</v>
      </c>
      <c r="U64" s="725">
        <v>0</v>
      </c>
    </row>
    <row r="65" spans="7:32" ht="12.75">
      <c r="G65" s="1813" t="s">
        <v>341</v>
      </c>
      <c r="H65" s="1814"/>
      <c r="I65" s="1814"/>
      <c r="J65" s="1814"/>
      <c r="K65" s="1814"/>
      <c r="L65" s="1814"/>
      <c r="M65" s="1814"/>
      <c r="N65" s="1814"/>
      <c r="O65" s="1814"/>
      <c r="P65" s="1814"/>
      <c r="Q65" s="1814"/>
      <c r="R65" s="1814"/>
      <c r="S65" s="720" t="s">
        <v>36</v>
      </c>
      <c r="T65" s="721" t="s">
        <v>85</v>
      </c>
      <c r="U65" s="726">
        <f>+S23</f>
        <v>0</v>
      </c>
      <c r="AA65" s="81"/>
      <c r="AB65" s="82"/>
      <c r="AC65" s="82"/>
      <c r="AD65" s="82" t="s">
        <v>65</v>
      </c>
      <c r="AE65" s="82"/>
      <c r="AF65" s="83"/>
    </row>
    <row r="66" spans="7:32" ht="12.75">
      <c r="G66" s="1815" t="s">
        <v>3</v>
      </c>
      <c r="H66" s="1816"/>
      <c r="I66" s="1816"/>
      <c r="J66" s="1816"/>
      <c r="K66" s="1816"/>
      <c r="L66" s="1816"/>
      <c r="M66" s="1816"/>
      <c r="N66" s="1816"/>
      <c r="O66" s="1816"/>
      <c r="P66" s="1816"/>
      <c r="Q66" s="1816"/>
      <c r="R66" s="1816"/>
      <c r="S66" s="727"/>
      <c r="T66" s="728"/>
      <c r="U66" s="726">
        <f>SUM(U54:U65)</f>
        <v>12400</v>
      </c>
      <c r="AA66" s="84"/>
      <c r="AB66" s="78"/>
      <c r="AC66" s="78"/>
      <c r="AD66" s="80">
        <v>1.39</v>
      </c>
      <c r="AE66" s="80">
        <v>1.36</v>
      </c>
      <c r="AF66" s="85" t="s">
        <v>66</v>
      </c>
    </row>
    <row r="67" spans="7:32" ht="15">
      <c r="G67" s="1817" t="s">
        <v>342</v>
      </c>
      <c r="H67" s="1817"/>
      <c r="I67" s="1817"/>
      <c r="J67" s="1817"/>
      <c r="K67" s="1817"/>
      <c r="L67" s="1817"/>
      <c r="M67" s="1817"/>
      <c r="N67" s="1817"/>
      <c r="O67" s="1817"/>
      <c r="P67" s="1817"/>
      <c r="Q67" s="1817"/>
      <c r="R67" s="1817"/>
      <c r="S67" s="1818"/>
      <c r="T67" s="1818"/>
      <c r="U67" s="1817"/>
      <c r="AA67" s="86">
        <f>DATE(2017,7,1)</f>
        <v>42917</v>
      </c>
      <c r="AB67" s="78">
        <f aca="true" t="shared" si="28" ref="AB67:AC69">+H12</f>
        <v>25800</v>
      </c>
      <c r="AC67" s="78">
        <f t="shared" si="28"/>
        <v>0</v>
      </c>
      <c r="AD67" s="79">
        <f>ROUND((+AB67+AC67)*AD66,0)</f>
        <v>35862</v>
      </c>
      <c r="AE67" s="79">
        <f>ROUND((+AB67+AC67)*AE66,0)</f>
        <v>35088</v>
      </c>
      <c r="AF67" s="85">
        <f>+AD67-AE67</f>
        <v>774</v>
      </c>
    </row>
    <row r="68" spans="7:32" ht="15">
      <c r="G68" s="1805" t="s">
        <v>343</v>
      </c>
      <c r="H68" s="1806"/>
      <c r="I68" s="1806"/>
      <c r="J68" s="1806"/>
      <c r="K68" s="1806"/>
      <c r="L68" s="1806"/>
      <c r="M68" s="1806"/>
      <c r="N68" s="1806"/>
      <c r="O68" s="1806"/>
      <c r="P68" s="1806"/>
      <c r="Q68" s="1806"/>
      <c r="R68" s="1806"/>
      <c r="S68" s="717" t="s">
        <v>36</v>
      </c>
      <c r="T68" s="718" t="s">
        <v>85</v>
      </c>
      <c r="U68" s="729" t="e">
        <f>+K52</f>
        <v>#N/A</v>
      </c>
      <c r="AA68" s="86">
        <f>DATE(2017,8,1)</f>
        <v>42948</v>
      </c>
      <c r="AB68" s="78">
        <f t="shared" si="28"/>
        <v>25800</v>
      </c>
      <c r="AC68" s="78">
        <f t="shared" si="28"/>
        <v>0</v>
      </c>
      <c r="AD68" s="79">
        <f>ROUND((+AB68+AC68)*AD66,0)</f>
        <v>35862</v>
      </c>
      <c r="AE68" s="79">
        <f>ROUND((+AB68+AC68)*AE66,0)</f>
        <v>35088</v>
      </c>
      <c r="AF68" s="85">
        <f>+AD68-AE68</f>
        <v>774</v>
      </c>
    </row>
    <row r="69" spans="7:32" ht="15">
      <c r="G69" s="1807" t="s">
        <v>379</v>
      </c>
      <c r="H69" s="1808"/>
      <c r="I69" s="1808"/>
      <c r="J69" s="1808"/>
      <c r="K69" s="1808"/>
      <c r="L69" s="1808"/>
      <c r="M69" s="1808"/>
      <c r="N69" s="1808"/>
      <c r="O69" s="1808"/>
      <c r="P69" s="1808"/>
      <c r="Q69" s="1808"/>
      <c r="R69" s="1808"/>
      <c r="S69" s="730" t="s">
        <v>36</v>
      </c>
      <c r="T69" s="731" t="s">
        <v>85</v>
      </c>
      <c r="U69" s="732">
        <f>AO28</f>
        <v>31200</v>
      </c>
      <c r="AA69" s="86">
        <f>DATE(2017,9,1)</f>
        <v>42979</v>
      </c>
      <c r="AB69" s="78">
        <f t="shared" si="28"/>
        <v>25800</v>
      </c>
      <c r="AC69" s="78">
        <f t="shared" si="28"/>
        <v>0</v>
      </c>
      <c r="AD69" s="79">
        <f>ROUND((+AB69+AC69)*AD66,0)</f>
        <v>35862</v>
      </c>
      <c r="AE69" s="79">
        <f>ROUND((+AB69+AC69)*AE66,0)</f>
        <v>35088</v>
      </c>
      <c r="AF69" s="85">
        <f>+AD69-AE69</f>
        <v>774</v>
      </c>
    </row>
    <row r="70" spans="7:32" ht="15">
      <c r="G70" s="1807" t="s">
        <v>344</v>
      </c>
      <c r="H70" s="1808"/>
      <c r="I70" s="1808"/>
      <c r="J70" s="1808"/>
      <c r="K70" s="1808"/>
      <c r="L70" s="1808"/>
      <c r="M70" s="1808"/>
      <c r="N70" s="1808"/>
      <c r="O70" s="1808"/>
      <c r="P70" s="1808"/>
      <c r="Q70" s="1808"/>
      <c r="R70" s="1808"/>
      <c r="S70" s="720" t="s">
        <v>36</v>
      </c>
      <c r="T70" s="721" t="s">
        <v>85</v>
      </c>
      <c r="U70" s="722">
        <f>+T23</f>
        <v>2190</v>
      </c>
      <c r="AA70" s="86"/>
      <c r="AB70" s="78"/>
      <c r="AC70" s="78"/>
      <c r="AD70" s="79"/>
      <c r="AE70" s="79"/>
      <c r="AF70" s="85"/>
    </row>
    <row r="71" spans="7:32" ht="14.25">
      <c r="G71" s="1819" t="s">
        <v>345</v>
      </c>
      <c r="H71" s="1820"/>
      <c r="I71" s="1820"/>
      <c r="J71" s="1820"/>
      <c r="K71" s="1820"/>
      <c r="L71" s="1820"/>
      <c r="M71" s="1820"/>
      <c r="N71" s="1820"/>
      <c r="O71" s="1820"/>
      <c r="P71" s="1820"/>
      <c r="Q71" s="1820"/>
      <c r="R71" s="1820"/>
      <c r="S71" s="730" t="s">
        <v>36</v>
      </c>
      <c r="T71" s="731" t="s">
        <v>85</v>
      </c>
      <c r="U71" s="898">
        <f>+'IT-STATEMENT-2021-2022 OLD'!O36</f>
        <v>0</v>
      </c>
      <c r="AA71" s="87" t="s">
        <v>29</v>
      </c>
      <c r="AB71" s="141"/>
      <c r="AC71" s="636"/>
      <c r="AD71" s="57"/>
      <c r="AF71" s="85"/>
    </row>
    <row r="72" spans="7:32" ht="13.5" thickBot="1">
      <c r="G72" s="1821" t="s">
        <v>346</v>
      </c>
      <c r="H72" s="1822"/>
      <c r="I72" s="1822"/>
      <c r="J72" s="1822"/>
      <c r="K72" s="1822"/>
      <c r="L72" s="1822"/>
      <c r="M72" s="1822"/>
      <c r="N72" s="1822"/>
      <c r="O72" s="1822"/>
      <c r="P72" s="1822"/>
      <c r="Q72" s="1822"/>
      <c r="R72" s="1822"/>
      <c r="S72" s="717" t="s">
        <v>36</v>
      </c>
      <c r="T72" s="718" t="s">
        <v>85</v>
      </c>
      <c r="U72" s="733" t="e">
        <f>U68-U69-U70-U71</f>
        <v>#N/A</v>
      </c>
      <c r="AA72" s="1720" t="s">
        <v>67</v>
      </c>
      <c r="AB72" s="1721"/>
      <c r="AC72" s="89"/>
      <c r="AD72" s="89"/>
      <c r="AE72" s="89"/>
      <c r="AF72" s="93">
        <f>SUM(AF67:AF71)</f>
        <v>2322</v>
      </c>
    </row>
    <row r="73" spans="7:32" ht="15.75" thickBot="1">
      <c r="G73" s="1823" t="s">
        <v>347</v>
      </c>
      <c r="H73" s="1824"/>
      <c r="I73" s="1824"/>
      <c r="J73" s="1824"/>
      <c r="K73" s="1824"/>
      <c r="L73" s="1824"/>
      <c r="M73" s="1824"/>
      <c r="N73" s="1824"/>
      <c r="O73" s="1824"/>
      <c r="P73" s="1824"/>
      <c r="Q73" s="1824"/>
      <c r="R73" s="1824"/>
      <c r="S73" s="734" t="s">
        <v>36</v>
      </c>
      <c r="T73" s="735" t="s">
        <v>85</v>
      </c>
      <c r="U73" s="736" t="e">
        <f>U72</f>
        <v>#N/A</v>
      </c>
      <c r="AA73" s="54"/>
      <c r="AB73" s="1"/>
      <c r="AC73" s="1"/>
      <c r="AD73" s="1"/>
      <c r="AE73" s="1"/>
      <c r="AF73" s="33"/>
    </row>
    <row r="74" spans="7:32" ht="15.75" thickBot="1">
      <c r="G74" s="1825" t="s">
        <v>348</v>
      </c>
      <c r="H74" s="1826"/>
      <c r="I74" s="1826"/>
      <c r="J74" s="1826"/>
      <c r="K74" s="1826"/>
      <c r="L74" s="1826"/>
      <c r="M74" s="1826"/>
      <c r="N74" s="1826"/>
      <c r="O74" s="1826"/>
      <c r="P74" s="1826"/>
      <c r="Q74" s="1826"/>
      <c r="R74" s="1826"/>
      <c r="S74" s="734" t="s">
        <v>36</v>
      </c>
      <c r="T74" s="735" t="s">
        <v>85</v>
      </c>
      <c r="U74" s="737">
        <f>IF(U66&gt;150000,150000,U66)</f>
        <v>12400</v>
      </c>
      <c r="AA74" s="90"/>
      <c r="AB74" s="91"/>
      <c r="AC74" s="237"/>
      <c r="AD74" s="237"/>
      <c r="AE74" s="237"/>
      <c r="AF74" s="92"/>
    </row>
    <row r="75" spans="7:32" ht="12.75" customHeight="1" thickBot="1">
      <c r="G75" s="1827" t="s">
        <v>349</v>
      </c>
      <c r="H75" s="1828"/>
      <c r="I75" s="1828"/>
      <c r="J75" s="1828"/>
      <c r="K75" s="1828"/>
      <c r="L75" s="1828"/>
      <c r="M75" s="1828"/>
      <c r="N75" s="1828"/>
      <c r="O75" s="1828"/>
      <c r="P75" s="1828"/>
      <c r="Q75" s="1828"/>
      <c r="R75" s="1828"/>
      <c r="S75" s="717" t="s">
        <v>36</v>
      </c>
      <c r="T75" s="718" t="s">
        <v>85</v>
      </c>
      <c r="U75" s="900">
        <f>+'IT-STATEMENT-2021-2022 OLD'!O38</f>
        <v>0</v>
      </c>
      <c r="AA75" s="234"/>
      <c r="AB75" s="236"/>
      <c r="AC75" s="238"/>
      <c r="AD75" s="238"/>
      <c r="AE75" s="239"/>
      <c r="AF75" s="147"/>
    </row>
    <row r="76" spans="7:32" ht="27.75" customHeight="1">
      <c r="G76" s="1829" t="s">
        <v>350</v>
      </c>
      <c r="H76" s="1830"/>
      <c r="I76" s="1830"/>
      <c r="J76" s="1830"/>
      <c r="K76" s="1830"/>
      <c r="L76" s="1830"/>
      <c r="M76" s="1830"/>
      <c r="N76" s="1830"/>
      <c r="O76" s="1830"/>
      <c r="P76" s="1830"/>
      <c r="Q76" s="1830"/>
      <c r="R76" s="1830"/>
      <c r="S76" s="720" t="s">
        <v>36</v>
      </c>
      <c r="T76" s="721" t="s">
        <v>85</v>
      </c>
      <c r="U76" s="738">
        <v>2160</v>
      </c>
      <c r="X76">
        <f>180*12</f>
        <v>2160</v>
      </c>
      <c r="AA76" s="24" t="str">
        <f>IF($B$13=0," ",DATE(2017,$B$13,1))</f>
        <v> </v>
      </c>
      <c r="AB76" s="25"/>
      <c r="AC76" s="235"/>
      <c r="AD76" s="235"/>
      <c r="AE76" s="25">
        <f>IF($B13=0,0,VLOOKUP($AC71,$AE77:$AF79,3))</f>
        <v>0</v>
      </c>
      <c r="AF76" s="148">
        <v>0</v>
      </c>
    </row>
    <row r="77" spans="7:32" ht="34.5" customHeight="1">
      <c r="G77" s="1831" t="s">
        <v>351</v>
      </c>
      <c r="H77" s="1832"/>
      <c r="I77" s="1832"/>
      <c r="J77" s="1832"/>
      <c r="K77" s="1832"/>
      <c r="L77" s="1832"/>
      <c r="M77" s="1832"/>
      <c r="N77" s="1832"/>
      <c r="O77" s="1832"/>
      <c r="P77" s="1832"/>
      <c r="Q77" s="1832"/>
      <c r="R77" s="1832"/>
      <c r="S77" s="739" t="s">
        <v>36</v>
      </c>
      <c r="T77" s="740" t="s">
        <v>85</v>
      </c>
      <c r="U77" s="901">
        <f>+'IT-STATEMENT-2021-2022 OLD'!O40</f>
        <v>0</v>
      </c>
      <c r="AA77" s="156">
        <v>1</v>
      </c>
      <c r="AB77" s="231">
        <f>DATE(2017,7,1)</f>
        <v>42917</v>
      </c>
      <c r="AC77" s="235"/>
      <c r="AD77" s="235"/>
      <c r="AE77" s="241">
        <f>DATE(2017,7,1)</f>
        <v>42917</v>
      </c>
      <c r="AF77" s="152">
        <f>ROUND(+AF67/2,0)</f>
        <v>387</v>
      </c>
    </row>
    <row r="78" spans="7:32" ht="15">
      <c r="G78" s="1823" t="s">
        <v>352</v>
      </c>
      <c r="H78" s="1824"/>
      <c r="I78" s="1824"/>
      <c r="J78" s="1824"/>
      <c r="K78" s="1824"/>
      <c r="L78" s="1824"/>
      <c r="M78" s="1824"/>
      <c r="N78" s="1824"/>
      <c r="O78" s="1824"/>
      <c r="P78" s="1824"/>
      <c r="Q78" s="1824"/>
      <c r="R78" s="1824"/>
      <c r="S78" s="734" t="s">
        <v>36</v>
      </c>
      <c r="T78" s="735" t="s">
        <v>85</v>
      </c>
      <c r="U78" s="741" t="e">
        <f>ROUND(U73-U74-U75-U76-U77,-1)</f>
        <v>#N/A</v>
      </c>
      <c r="X78" s="32"/>
      <c r="AA78" s="156">
        <v>2</v>
      </c>
      <c r="AB78" s="231">
        <f>DATE(2017,8,1)</f>
        <v>42948</v>
      </c>
      <c r="AC78" s="235"/>
      <c r="AD78" s="235"/>
      <c r="AE78" s="241">
        <f>DATE(2017,7,1)</f>
        <v>42917</v>
      </c>
      <c r="AF78" s="152">
        <f>ROUND(+AF68/2,0)</f>
        <v>387</v>
      </c>
    </row>
    <row r="79" spans="7:32" ht="15">
      <c r="G79" s="1833" t="s">
        <v>353</v>
      </c>
      <c r="H79" s="1834"/>
      <c r="I79" s="1834"/>
      <c r="J79" s="1834"/>
      <c r="K79" s="1834"/>
      <c r="L79" s="1834"/>
      <c r="M79" s="1834"/>
      <c r="N79" s="1834"/>
      <c r="O79" s="1835">
        <v>250000</v>
      </c>
      <c r="P79" s="1836"/>
      <c r="Q79" s="1835" t="s">
        <v>354</v>
      </c>
      <c r="R79" s="1836"/>
      <c r="S79" s="742" t="s">
        <v>36</v>
      </c>
      <c r="T79" s="743" t="s">
        <v>85</v>
      </c>
      <c r="U79" s="744" t="e">
        <f>+U78-O79</f>
        <v>#N/A</v>
      </c>
      <c r="X79" s="34"/>
      <c r="AA79" s="156">
        <v>3</v>
      </c>
      <c r="AB79" s="232">
        <v>0</v>
      </c>
      <c r="AC79" s="235"/>
      <c r="AD79" s="235"/>
      <c r="AE79" s="241">
        <f>DATE(2017,9,1)</f>
        <v>42979</v>
      </c>
      <c r="AF79" s="152">
        <f>ROUND(+AF69/2,0)</f>
        <v>387</v>
      </c>
    </row>
    <row r="80" spans="7:32" ht="12.75" customHeight="1">
      <c r="G80" s="1837" t="s">
        <v>355</v>
      </c>
      <c r="H80" s="1838"/>
      <c r="I80" s="1838"/>
      <c r="J80" s="1838"/>
      <c r="K80" s="1838"/>
      <c r="L80" s="1838"/>
      <c r="M80" s="1838"/>
      <c r="N80" s="1838"/>
      <c r="O80" s="1839" t="e">
        <f>VLOOKUP(AO6,AW12:AX13,2)</f>
        <v>#N/A</v>
      </c>
      <c r="P80" s="1840"/>
      <c r="Q80" s="745">
        <v>5</v>
      </c>
      <c r="R80" s="746" t="s">
        <v>356</v>
      </c>
      <c r="S80" s="720" t="s">
        <v>36</v>
      </c>
      <c r="T80" s="721" t="s">
        <v>85</v>
      </c>
      <c r="U80" s="747" t="e">
        <f>+O80*Q80/100</f>
        <v>#N/A</v>
      </c>
      <c r="X80" s="34"/>
      <c r="AA80" s="156">
        <v>4</v>
      </c>
      <c r="AB80" s="232">
        <v>0</v>
      </c>
      <c r="AC80" s="235"/>
      <c r="AD80" s="235"/>
      <c r="AE80" s="241"/>
      <c r="AF80" s="152"/>
    </row>
    <row r="81" spans="7:32" ht="12.75">
      <c r="G81" s="1841" t="s">
        <v>357</v>
      </c>
      <c r="H81" s="1842"/>
      <c r="I81" s="1842"/>
      <c r="J81" s="1842"/>
      <c r="K81" s="1842"/>
      <c r="L81" s="1842"/>
      <c r="M81" s="1842"/>
      <c r="N81" s="1842"/>
      <c r="O81" s="1839" t="e">
        <f>IF(U79&gt;600000,BH7,IF(U79&lt;600000,BH6,0))</f>
        <v>#N/A</v>
      </c>
      <c r="P81" s="1840"/>
      <c r="Q81" s="748">
        <v>20</v>
      </c>
      <c r="R81" s="746" t="s">
        <v>356</v>
      </c>
      <c r="S81" s="720" t="s">
        <v>36</v>
      </c>
      <c r="T81" s="721" t="s">
        <v>85</v>
      </c>
      <c r="U81" s="747" t="e">
        <f>+O81*Q81/100</f>
        <v>#N/A</v>
      </c>
      <c r="X81" s="34"/>
      <c r="AA81" s="156">
        <v>5</v>
      </c>
      <c r="AB81" s="232">
        <v>0</v>
      </c>
      <c r="AC81" s="235"/>
      <c r="AD81" s="235"/>
      <c r="AE81" s="233"/>
      <c r="AF81" s="159"/>
    </row>
    <row r="82" spans="7:32" ht="13.5" thickBot="1">
      <c r="G82" s="1841" t="s">
        <v>358</v>
      </c>
      <c r="H82" s="1842"/>
      <c r="I82" s="1842"/>
      <c r="J82" s="1842"/>
      <c r="K82" s="1842"/>
      <c r="L82" s="1842"/>
      <c r="M82" s="1842"/>
      <c r="N82" s="1842"/>
      <c r="O82" s="1839" t="e">
        <f>IF(U79&gt;2000000,2000000,IF(U79&lt;2000000,U79-T210-T211,0))</f>
        <v>#N/A</v>
      </c>
      <c r="P82" s="1840"/>
      <c r="Q82" s="748">
        <v>30</v>
      </c>
      <c r="R82" s="746" t="s">
        <v>356</v>
      </c>
      <c r="S82" s="720" t="s">
        <v>36</v>
      </c>
      <c r="T82" s="721" t="s">
        <v>85</v>
      </c>
      <c r="U82" s="747" t="e">
        <f>+O82*Q82/100</f>
        <v>#N/A</v>
      </c>
      <c r="AA82" s="156">
        <v>6</v>
      </c>
      <c r="AB82" s="232">
        <v>0</v>
      </c>
      <c r="AC82" s="235"/>
      <c r="AD82" s="235"/>
      <c r="AE82" s="233"/>
      <c r="AF82" s="162"/>
    </row>
    <row r="83" spans="7:32" ht="15.75" thickBot="1">
      <c r="G83" s="1843" t="s">
        <v>359</v>
      </c>
      <c r="H83" s="1844"/>
      <c r="I83" s="1844"/>
      <c r="J83" s="1844"/>
      <c r="K83" s="1844"/>
      <c r="L83" s="1844"/>
      <c r="M83" s="1844"/>
      <c r="N83" s="1844"/>
      <c r="O83" s="1845" t="e">
        <f>+O80+O81+O82</f>
        <v>#N/A</v>
      </c>
      <c r="P83" s="1846"/>
      <c r="Q83" s="1845" t="e">
        <f>+U79-O83</f>
        <v>#N/A</v>
      </c>
      <c r="R83" s="1846"/>
      <c r="S83" s="742" t="s">
        <v>36</v>
      </c>
      <c r="T83" s="743" t="s">
        <v>85</v>
      </c>
      <c r="U83" s="749" t="e">
        <f>+U80+U81+U82</f>
        <v>#N/A</v>
      </c>
      <c r="AA83" s="156">
        <v>7</v>
      </c>
      <c r="AB83" s="232">
        <v>0</v>
      </c>
      <c r="AC83" s="235"/>
      <c r="AD83" s="235"/>
      <c r="AE83" s="233"/>
      <c r="AF83" s="162"/>
    </row>
    <row r="84" spans="7:32" ht="15.75">
      <c r="G84" s="1847" t="s">
        <v>360</v>
      </c>
      <c r="H84" s="1848"/>
      <c r="I84" s="1848"/>
      <c r="J84" s="1848"/>
      <c r="K84" s="1848"/>
      <c r="L84" s="1848"/>
      <c r="M84" s="1848"/>
      <c r="N84" s="1848"/>
      <c r="O84" s="1848"/>
      <c r="P84" s="1848"/>
      <c r="Q84" s="1848"/>
      <c r="R84" s="1848"/>
      <c r="S84" s="742" t="s">
        <v>36</v>
      </c>
      <c r="T84" s="743" t="s">
        <v>85</v>
      </c>
      <c r="U84" s="750" t="e">
        <f>AG33</f>
        <v>#N/A</v>
      </c>
      <c r="AA84" s="156">
        <v>8</v>
      </c>
      <c r="AB84" s="232">
        <v>0</v>
      </c>
      <c r="AC84" s="235"/>
      <c r="AD84" s="235"/>
      <c r="AE84" s="151"/>
      <c r="AF84" s="157"/>
    </row>
    <row r="85" spans="7:32" ht="15">
      <c r="G85" s="1849" t="s">
        <v>361</v>
      </c>
      <c r="H85" s="1850"/>
      <c r="I85" s="1850"/>
      <c r="J85" s="1850"/>
      <c r="K85" s="1850"/>
      <c r="L85" s="1850"/>
      <c r="M85" s="1850"/>
      <c r="N85" s="1850"/>
      <c r="O85" s="1850"/>
      <c r="P85" s="1850"/>
      <c r="Q85" s="1850"/>
      <c r="R85" s="1850"/>
      <c r="S85" s="742" t="s">
        <v>36</v>
      </c>
      <c r="T85" s="743" t="s">
        <v>85</v>
      </c>
      <c r="U85" s="751" t="e">
        <f>+U83-U84</f>
        <v>#N/A</v>
      </c>
      <c r="AA85" s="156">
        <v>9</v>
      </c>
      <c r="AB85" s="232">
        <v>0</v>
      </c>
      <c r="AC85" s="235"/>
      <c r="AD85" s="235"/>
      <c r="AE85" s="151"/>
      <c r="AF85" s="157"/>
    </row>
    <row r="86" spans="7:32" ht="15">
      <c r="G86" s="1841" t="s">
        <v>362</v>
      </c>
      <c r="H86" s="1842"/>
      <c r="I86" s="1842"/>
      <c r="J86" s="1842"/>
      <c r="K86" s="1842"/>
      <c r="L86" s="1842"/>
      <c r="M86" s="1842"/>
      <c r="N86" s="1842"/>
      <c r="O86" s="1842"/>
      <c r="P86" s="1842"/>
      <c r="Q86" s="1842"/>
      <c r="R86" s="1842"/>
      <c r="S86" s="720" t="s">
        <v>36</v>
      </c>
      <c r="T86" s="721" t="s">
        <v>85</v>
      </c>
      <c r="U86" s="752" t="e">
        <f>ROUND(+U85*2/100,0)</f>
        <v>#N/A</v>
      </c>
      <c r="AA86" s="156">
        <v>10</v>
      </c>
      <c r="AB86" s="232">
        <v>0</v>
      </c>
      <c r="AC86" s="235"/>
      <c r="AD86" s="235"/>
      <c r="AE86" s="151"/>
      <c r="AF86" s="157"/>
    </row>
    <row r="87" spans="7:32" ht="15">
      <c r="G87" s="1841" t="s">
        <v>363</v>
      </c>
      <c r="H87" s="1842"/>
      <c r="I87" s="1842"/>
      <c r="J87" s="1842"/>
      <c r="K87" s="1842"/>
      <c r="L87" s="1842"/>
      <c r="M87" s="1842"/>
      <c r="N87" s="1842"/>
      <c r="O87" s="1842"/>
      <c r="P87" s="1842"/>
      <c r="Q87" s="1842"/>
      <c r="R87" s="1842"/>
      <c r="S87" s="720" t="s">
        <v>36</v>
      </c>
      <c r="T87" s="721" t="s">
        <v>85</v>
      </c>
      <c r="U87" s="752" t="e">
        <f>ROUND(+U85*1/100,0)</f>
        <v>#N/A</v>
      </c>
      <c r="AA87" s="156">
        <v>11</v>
      </c>
      <c r="AB87" s="232">
        <v>0</v>
      </c>
      <c r="AC87" s="235"/>
      <c r="AD87" s="235"/>
      <c r="AE87" s="151"/>
      <c r="AF87" s="157"/>
    </row>
    <row r="88" spans="7:32" ht="15.75" thickBot="1">
      <c r="G88" s="1851" t="s">
        <v>364</v>
      </c>
      <c r="H88" s="1852"/>
      <c r="I88" s="1852"/>
      <c r="J88" s="1852"/>
      <c r="K88" s="1852"/>
      <c r="L88" s="1852"/>
      <c r="M88" s="1852"/>
      <c r="N88" s="1852"/>
      <c r="O88" s="1852"/>
      <c r="P88" s="1852"/>
      <c r="Q88" s="1852"/>
      <c r="R88" s="1852"/>
      <c r="S88" s="717" t="s">
        <v>36</v>
      </c>
      <c r="T88" s="718" t="s">
        <v>85</v>
      </c>
      <c r="U88" s="753" t="e">
        <f>+U85+U86+U87</f>
        <v>#N/A</v>
      </c>
      <c r="AA88" s="156">
        <v>12</v>
      </c>
      <c r="AB88" s="232">
        <v>0</v>
      </c>
      <c r="AC88" s="235"/>
      <c r="AD88" s="235"/>
      <c r="AE88" s="161"/>
      <c r="AF88" s="168"/>
    </row>
    <row r="89" spans="7:21" ht="15">
      <c r="G89" s="1853" t="s">
        <v>365</v>
      </c>
      <c r="H89" s="1854"/>
      <c r="I89" s="1854"/>
      <c r="J89" s="1854"/>
      <c r="K89" s="1854"/>
      <c r="L89" s="1854"/>
      <c r="M89" s="1854"/>
      <c r="N89" s="1854"/>
      <c r="O89" s="1854"/>
      <c r="P89" s="1854"/>
      <c r="Q89" s="1854"/>
      <c r="R89" s="1855"/>
      <c r="S89" s="717" t="s">
        <v>36</v>
      </c>
      <c r="T89" s="718" t="s">
        <v>85</v>
      </c>
      <c r="U89" s="754"/>
    </row>
    <row r="90" spans="7:21" ht="15">
      <c r="G90" s="1849" t="s">
        <v>366</v>
      </c>
      <c r="H90" s="1850"/>
      <c r="I90" s="1850"/>
      <c r="J90" s="1850"/>
      <c r="K90" s="1850"/>
      <c r="L90" s="1850"/>
      <c r="M90" s="1850"/>
      <c r="N90" s="1850"/>
      <c r="O90" s="1850"/>
      <c r="P90" s="1850"/>
      <c r="Q90" s="1850"/>
      <c r="R90" s="1850"/>
      <c r="S90" s="717"/>
      <c r="T90" s="718"/>
      <c r="U90" s="755" t="e">
        <f>+U88-U89</f>
        <v>#N/A</v>
      </c>
    </row>
    <row r="91" spans="7:21" ht="15">
      <c r="G91" s="1853" t="s">
        <v>367</v>
      </c>
      <c r="H91" s="1854"/>
      <c r="I91" s="1854"/>
      <c r="J91" s="1854"/>
      <c r="K91" s="1854"/>
      <c r="L91" s="1854"/>
      <c r="M91" s="1854"/>
      <c r="N91" s="1854"/>
      <c r="O91" s="1854"/>
      <c r="P91" s="1854"/>
      <c r="Q91" s="1854"/>
      <c r="R91" s="1854"/>
      <c r="S91" s="742" t="s">
        <v>36</v>
      </c>
      <c r="T91" s="743" t="s">
        <v>85</v>
      </c>
      <c r="U91" s="754">
        <f>+Y20</f>
        <v>0</v>
      </c>
    </row>
    <row r="92" spans="7:21" ht="15">
      <c r="G92" s="1833" t="s">
        <v>368</v>
      </c>
      <c r="H92" s="1834"/>
      <c r="I92" s="1834"/>
      <c r="J92" s="1834"/>
      <c r="K92" s="1834"/>
      <c r="L92" s="1834"/>
      <c r="M92" s="1834"/>
      <c r="N92" s="1834"/>
      <c r="O92" s="1834"/>
      <c r="P92" s="1834"/>
      <c r="Q92" s="1834"/>
      <c r="R92" s="1834"/>
      <c r="S92" s="742" t="s">
        <v>36</v>
      </c>
      <c r="T92" s="743" t="s">
        <v>85</v>
      </c>
      <c r="U92" s="751" t="e">
        <f>+U88-U91</f>
        <v>#N/A</v>
      </c>
    </row>
    <row r="93" spans="7:18" ht="12.75">
      <c r="G93" s="756"/>
      <c r="H93" s="756"/>
      <c r="I93" s="756"/>
      <c r="J93" s="756"/>
      <c r="K93" s="756"/>
      <c r="L93" s="756"/>
      <c r="M93" s="756"/>
      <c r="N93" s="756"/>
      <c r="O93" s="756"/>
      <c r="P93" s="756"/>
      <c r="Q93" s="756"/>
      <c r="R93" s="756"/>
    </row>
    <row r="94" spans="7:18" ht="12.75">
      <c r="G94" s="756"/>
      <c r="H94" s="756"/>
      <c r="I94" s="756"/>
      <c r="J94" s="756"/>
      <c r="K94" s="756"/>
      <c r="L94" s="756"/>
      <c r="M94" s="756"/>
      <c r="N94" s="756"/>
      <c r="O94" s="756"/>
      <c r="P94" s="756"/>
      <c r="Q94" s="756"/>
      <c r="R94" s="756"/>
    </row>
    <row r="95" spans="14:20" ht="12.75">
      <c r="N95" s="1856" t="s">
        <v>315</v>
      </c>
      <c r="O95" s="1856"/>
      <c r="P95" s="1856"/>
      <c r="Q95" s="1856"/>
      <c r="R95" s="1856"/>
      <c r="S95" s="1856"/>
      <c r="T95" s="700"/>
    </row>
    <row r="96" spans="14:20" ht="12.75">
      <c r="N96" s="1856" t="s">
        <v>369</v>
      </c>
      <c r="O96" s="1856"/>
      <c r="P96" s="1856"/>
      <c r="Q96" s="1856" t="str">
        <f>+H4</f>
        <v>JE-II</v>
      </c>
      <c r="R96" s="1856"/>
      <c r="S96" s="1856"/>
      <c r="T96" s="1856"/>
    </row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3.5" thickBot="1"/>
    <row r="192" spans="2:65" ht="14.25" customHeight="1" thickBot="1">
      <c r="B192" s="757"/>
      <c r="C192" s="757"/>
      <c r="D192" s="757"/>
      <c r="E192" s="757"/>
      <c r="F192" s="757"/>
      <c r="G192" s="758"/>
      <c r="H192" s="1857" t="s">
        <v>281</v>
      </c>
      <c r="I192" s="1858"/>
      <c r="J192" s="1858"/>
      <c r="K192" s="1858"/>
      <c r="L192" s="1858"/>
      <c r="M192" s="1859"/>
      <c r="N192" s="759"/>
      <c r="O192" s="760"/>
      <c r="P192" s="761">
        <v>8</v>
      </c>
      <c r="Q192" s="1860" t="s">
        <v>32</v>
      </c>
      <c r="R192" s="1861"/>
      <c r="S192" s="1861"/>
      <c r="T192" s="1862"/>
      <c r="U192" s="762"/>
      <c r="AG192" s="1"/>
      <c r="AH192" s="37"/>
      <c r="AI192" s="1"/>
      <c r="AJ192" s="1"/>
      <c r="BL192" s="575">
        <f>+BL29+1</f>
        <v>6</v>
      </c>
      <c r="BM192" s="88">
        <v>150</v>
      </c>
    </row>
    <row r="193" spans="1:65" ht="16.5" thickBot="1">
      <c r="A193" s="49" t="s">
        <v>64</v>
      </c>
      <c r="B193" s="23"/>
      <c r="C193" s="757"/>
      <c r="D193" s="757"/>
      <c r="E193" s="757"/>
      <c r="F193" s="757"/>
      <c r="G193" s="763">
        <v>1</v>
      </c>
      <c r="H193" s="1863" t="s">
        <v>33</v>
      </c>
      <c r="I193" s="1864"/>
      <c r="J193" s="1864"/>
      <c r="K193" s="1864"/>
      <c r="L193" s="1864"/>
      <c r="M193" s="1864"/>
      <c r="N193" s="764" t="e">
        <f>ROUND(+N29,0)+T29-N192</f>
        <v>#N/A</v>
      </c>
      <c r="O193" s="765"/>
      <c r="P193" s="766">
        <v>1</v>
      </c>
      <c r="Q193" s="1865" t="s">
        <v>73</v>
      </c>
      <c r="R193" s="1866"/>
      <c r="S193" s="1867"/>
      <c r="T193" s="767" t="s">
        <v>36</v>
      </c>
      <c r="U193" s="768">
        <f>+O23</f>
        <v>0</v>
      </c>
      <c r="AG193" s="3"/>
      <c r="AH193" s="22"/>
      <c r="AI193" s="1"/>
      <c r="AJ193" s="1"/>
      <c r="AL193" s="107"/>
      <c r="AM193" s="380" t="s">
        <v>282</v>
      </c>
      <c r="AN193" s="107"/>
      <c r="AO193" s="107"/>
      <c r="AP193" s="107"/>
      <c r="BL193" s="575">
        <f aca="true" t="shared" si="29" ref="BL193:BL198">+BL192+1</f>
        <v>7</v>
      </c>
      <c r="BM193" s="88">
        <v>180</v>
      </c>
    </row>
    <row r="194" spans="1:65" ht="16.5" thickBot="1">
      <c r="A194" s="77">
        <f>+B5</f>
        <v>25000</v>
      </c>
      <c r="B194" s="23"/>
      <c r="C194" s="757"/>
      <c r="D194" s="757"/>
      <c r="E194" s="757"/>
      <c r="F194" s="757"/>
      <c r="G194" s="763">
        <v>2</v>
      </c>
      <c r="H194" s="1868" t="s">
        <v>34</v>
      </c>
      <c r="I194" s="1869"/>
      <c r="J194" s="1869"/>
      <c r="K194" s="1869"/>
      <c r="L194" s="1870"/>
      <c r="M194" s="769" t="s">
        <v>35</v>
      </c>
      <c r="N194" s="770">
        <f>AO28</f>
        <v>31200</v>
      </c>
      <c r="O194" s="765"/>
      <c r="P194" s="766">
        <v>2</v>
      </c>
      <c r="Q194" s="1703" t="s">
        <v>272</v>
      </c>
      <c r="R194" s="1704"/>
      <c r="S194" s="1705"/>
      <c r="T194" s="771" t="s">
        <v>36</v>
      </c>
      <c r="U194" s="772">
        <v>0</v>
      </c>
      <c r="AG194" s="1"/>
      <c r="AH194" s="1"/>
      <c r="AI194" s="1"/>
      <c r="AJ194" s="1"/>
      <c r="AL194" s="382">
        <f>+B19</f>
        <v>0</v>
      </c>
      <c r="AM194" s="381" t="s">
        <v>235</v>
      </c>
      <c r="AN194" s="382">
        <v>0</v>
      </c>
      <c r="AO194" s="382" t="e">
        <f>VLOOKUP(+AL194,AM194:AN195,2)</f>
        <v>#N/A</v>
      </c>
      <c r="AP194" s="107"/>
      <c r="BL194" s="575">
        <f t="shared" si="29"/>
        <v>8</v>
      </c>
      <c r="BM194" s="88">
        <v>180</v>
      </c>
    </row>
    <row r="195" spans="1:65" ht="15.75">
      <c r="A195" s="17">
        <f>+B6</f>
        <v>0</v>
      </c>
      <c r="B195" s="23"/>
      <c r="C195" s="757"/>
      <c r="D195" s="757"/>
      <c r="E195" s="757"/>
      <c r="F195" s="757"/>
      <c r="G195" s="763"/>
      <c r="H195" s="1871"/>
      <c r="I195" s="1872"/>
      <c r="J195" s="1872"/>
      <c r="K195" s="1872"/>
      <c r="L195" s="1872"/>
      <c r="M195" s="1872"/>
      <c r="N195" s="764" t="e">
        <f>+N193-N194</f>
        <v>#N/A</v>
      </c>
      <c r="O195" s="765"/>
      <c r="P195" s="766">
        <v>3</v>
      </c>
      <c r="Q195" s="1865" t="s">
        <v>74</v>
      </c>
      <c r="R195" s="1866"/>
      <c r="S195" s="1867"/>
      <c r="T195" s="767" t="s">
        <v>36</v>
      </c>
      <c r="U195" s="768">
        <f>+P23</f>
        <v>2400</v>
      </c>
      <c r="AL195" s="382"/>
      <c r="AM195" s="382" t="s">
        <v>234</v>
      </c>
      <c r="AN195" s="382">
        <f>ROUND(N14/30,0)</f>
        <v>1024</v>
      </c>
      <c r="AO195" s="382"/>
      <c r="AP195" s="107"/>
      <c r="BL195" s="575">
        <f t="shared" si="29"/>
        <v>9</v>
      </c>
      <c r="BM195" s="88">
        <v>180</v>
      </c>
    </row>
    <row r="196" spans="1:65" ht="16.5" thickBot="1">
      <c r="A196" s="17">
        <f>+A194+A195</f>
        <v>25000</v>
      </c>
      <c r="B196" s="23"/>
      <c r="C196" s="757"/>
      <c r="D196" s="757"/>
      <c r="E196" s="757"/>
      <c r="F196" s="757"/>
      <c r="G196" s="763">
        <v>3</v>
      </c>
      <c r="H196" s="1863" t="s">
        <v>271</v>
      </c>
      <c r="I196" s="1864"/>
      <c r="J196" s="1864"/>
      <c r="K196" s="1864"/>
      <c r="L196" s="1873"/>
      <c r="M196" s="769" t="s">
        <v>35</v>
      </c>
      <c r="N196" s="770">
        <f>T23+BM201</f>
        <v>4230</v>
      </c>
      <c r="O196" s="765"/>
      <c r="P196" s="766">
        <v>4</v>
      </c>
      <c r="Q196" s="1703" t="s">
        <v>75</v>
      </c>
      <c r="R196" s="1704"/>
      <c r="S196" s="1705"/>
      <c r="T196" s="767" t="s">
        <v>36</v>
      </c>
      <c r="U196" s="772">
        <v>0</v>
      </c>
      <c r="BL196" s="575">
        <f t="shared" si="29"/>
        <v>10</v>
      </c>
      <c r="BM196" s="88">
        <v>180</v>
      </c>
    </row>
    <row r="197" spans="1:65" ht="15.75">
      <c r="A197" s="76">
        <f>+A196*3/100</f>
        <v>750</v>
      </c>
      <c r="B197" s="23"/>
      <c r="C197" s="757"/>
      <c r="D197" s="757"/>
      <c r="E197" s="757"/>
      <c r="F197" s="757"/>
      <c r="G197" s="763"/>
      <c r="H197" s="1871"/>
      <c r="I197" s="1872"/>
      <c r="J197" s="1872"/>
      <c r="K197" s="1872"/>
      <c r="L197" s="1872"/>
      <c r="M197" s="1872"/>
      <c r="N197" s="764" t="e">
        <f>+N195-N196</f>
        <v>#N/A</v>
      </c>
      <c r="O197" s="765"/>
      <c r="P197" s="766">
        <v>5</v>
      </c>
      <c r="Q197" s="1865" t="s">
        <v>76</v>
      </c>
      <c r="R197" s="1866"/>
      <c r="S197" s="1867"/>
      <c r="T197" s="767" t="s">
        <v>36</v>
      </c>
      <c r="U197" s="768">
        <f>+Q23</f>
        <v>0</v>
      </c>
      <c r="BL197" s="575">
        <f t="shared" si="29"/>
        <v>11</v>
      </c>
      <c r="BM197" s="88">
        <v>180</v>
      </c>
    </row>
    <row r="198" spans="1:65" ht="16.5" thickBot="1">
      <c r="A198" s="76">
        <f>ROUNDDOWN(A197,0.1)</f>
        <v>750</v>
      </c>
      <c r="B198" s="23"/>
      <c r="C198" s="757"/>
      <c r="D198" s="757"/>
      <c r="E198" s="757"/>
      <c r="F198" s="757"/>
      <c r="G198" s="763">
        <v>4</v>
      </c>
      <c r="H198" s="1868" t="s">
        <v>37</v>
      </c>
      <c r="I198" s="1869"/>
      <c r="J198" s="1869"/>
      <c r="K198" s="1869"/>
      <c r="L198" s="1870"/>
      <c r="M198" s="769" t="s">
        <v>35</v>
      </c>
      <c r="N198" s="773">
        <f>IF(H199&gt;200000,200000,IF(H199&lt;200000,H199,0))</f>
        <v>0</v>
      </c>
      <c r="O198" s="765"/>
      <c r="P198" s="766">
        <v>8</v>
      </c>
      <c r="Q198" s="774" t="s">
        <v>77</v>
      </c>
      <c r="R198" s="775"/>
      <c r="S198" s="776"/>
      <c r="T198" s="767" t="s">
        <v>36</v>
      </c>
      <c r="U198" s="772">
        <f>+R23</f>
        <v>0</v>
      </c>
      <c r="W198" s="189" t="s">
        <v>280</v>
      </c>
      <c r="BL198" s="575">
        <f t="shared" si="29"/>
        <v>12</v>
      </c>
      <c r="BM198" s="88">
        <v>180</v>
      </c>
    </row>
    <row r="199" spans="1:65" ht="16.5" thickBot="1">
      <c r="A199" s="96">
        <f>CEILING(A198,10)</f>
        <v>750</v>
      </c>
      <c r="B199" s="29"/>
      <c r="C199" s="757"/>
      <c r="D199" s="757"/>
      <c r="E199" s="757"/>
      <c r="F199" s="757"/>
      <c r="G199" s="763"/>
      <c r="H199" s="1874">
        <v>0</v>
      </c>
      <c r="I199" s="1875"/>
      <c r="J199" s="777"/>
      <c r="K199" s="777"/>
      <c r="L199" s="777"/>
      <c r="M199" s="777"/>
      <c r="N199" s="764" t="e">
        <f>+N197-N198</f>
        <v>#N/A</v>
      </c>
      <c r="O199" s="765"/>
      <c r="P199" s="766">
        <v>7</v>
      </c>
      <c r="Q199" s="1703" t="s">
        <v>78</v>
      </c>
      <c r="R199" s="1704"/>
      <c r="S199" s="1705"/>
      <c r="T199" s="767" t="s">
        <v>36</v>
      </c>
      <c r="U199" s="772">
        <v>0</v>
      </c>
      <c r="W199" s="189" t="s">
        <v>279</v>
      </c>
      <c r="BL199" s="575">
        <v>1</v>
      </c>
      <c r="BM199" s="88">
        <v>180</v>
      </c>
    </row>
    <row r="200" spans="1:65" ht="16.5" thickBot="1">
      <c r="A200" s="97">
        <f>+A194+A199</f>
        <v>25750</v>
      </c>
      <c r="C200" s="757"/>
      <c r="D200" s="757"/>
      <c r="E200" s="757"/>
      <c r="F200" s="757"/>
      <c r="G200" s="763">
        <v>5</v>
      </c>
      <c r="H200" s="1868" t="s">
        <v>38</v>
      </c>
      <c r="I200" s="1869"/>
      <c r="J200" s="1869"/>
      <c r="K200" s="1869"/>
      <c r="L200" s="1870"/>
      <c r="M200" s="769" t="s">
        <v>35</v>
      </c>
      <c r="N200" s="773">
        <f>IF(H201&gt;25000,25000,IF(H201&lt;25000,H201,0))</f>
        <v>0</v>
      </c>
      <c r="O200" s="765"/>
      <c r="P200" s="766">
        <v>8</v>
      </c>
      <c r="Q200" s="1703" t="s">
        <v>79</v>
      </c>
      <c r="R200" s="1704"/>
      <c r="S200" s="1705"/>
      <c r="T200" s="767" t="s">
        <v>36</v>
      </c>
      <c r="U200" s="772">
        <v>0</v>
      </c>
      <c r="W200" s="189" t="s">
        <v>276</v>
      </c>
      <c r="X200" s="189"/>
      <c r="Y200" s="189"/>
      <c r="BL200" s="575">
        <f>+BL199+1</f>
        <v>2</v>
      </c>
      <c r="BM200" s="88">
        <v>180</v>
      </c>
    </row>
    <row r="201" spans="1:65" ht="16.5" thickBot="1">
      <c r="A201" s="102" t="s">
        <v>237</v>
      </c>
      <c r="B201" s="385" t="str">
        <f>+B11</f>
        <v>Y</v>
      </c>
      <c r="C201" s="757"/>
      <c r="D201" s="757"/>
      <c r="E201" s="757"/>
      <c r="F201" s="757"/>
      <c r="G201" s="763"/>
      <c r="H201" s="1874">
        <v>0</v>
      </c>
      <c r="I201" s="1875"/>
      <c r="J201" s="777"/>
      <c r="K201" s="777"/>
      <c r="L201" s="777"/>
      <c r="M201" s="777"/>
      <c r="N201" s="764" t="e">
        <f>+N199-N200</f>
        <v>#N/A</v>
      </c>
      <c r="O201" s="765"/>
      <c r="P201" s="766">
        <v>9</v>
      </c>
      <c r="Q201" s="1703" t="s">
        <v>80</v>
      </c>
      <c r="R201" s="1704"/>
      <c r="S201" s="1705"/>
      <c r="T201" s="767" t="s">
        <v>36</v>
      </c>
      <c r="U201" s="770">
        <f>+S23</f>
        <v>0</v>
      </c>
      <c r="W201" s="189" t="s">
        <v>275</v>
      </c>
      <c r="X201" s="189"/>
      <c r="Y201" s="189"/>
      <c r="BL201" s="576"/>
      <c r="BM201" s="577">
        <f>SUM(BM27:BM200)</f>
        <v>2040</v>
      </c>
    </row>
    <row r="202" spans="2:23" ht="12.75">
      <c r="B202" s="757"/>
      <c r="C202" s="757"/>
      <c r="D202" s="757"/>
      <c r="E202" s="757"/>
      <c r="F202" s="757"/>
      <c r="G202" s="763"/>
      <c r="H202" s="1871"/>
      <c r="I202" s="1872"/>
      <c r="J202" s="1872"/>
      <c r="K202" s="1872"/>
      <c r="L202" s="1872"/>
      <c r="M202" s="1872"/>
      <c r="N202" s="768"/>
      <c r="O202" s="765"/>
      <c r="P202" s="778"/>
      <c r="Q202" s="1876" t="s">
        <v>3</v>
      </c>
      <c r="R202" s="1877"/>
      <c r="S202" s="1878"/>
      <c r="T202" s="767" t="s">
        <v>36</v>
      </c>
      <c r="U202" s="764">
        <f>SUM(U193:U201)</f>
        <v>2400</v>
      </c>
      <c r="W202" s="189" t="s">
        <v>277</v>
      </c>
    </row>
    <row r="203" spans="2:23" ht="13.5" thickBot="1">
      <c r="B203" s="757"/>
      <c r="C203" s="757"/>
      <c r="D203" s="757"/>
      <c r="E203" s="757"/>
      <c r="F203" s="757"/>
      <c r="G203" s="763">
        <v>6</v>
      </c>
      <c r="H203" s="1868" t="s">
        <v>228</v>
      </c>
      <c r="I203" s="1869"/>
      <c r="J203" s="1869"/>
      <c r="K203" s="1869"/>
      <c r="L203" s="1870"/>
      <c r="M203" s="769" t="s">
        <v>35</v>
      </c>
      <c r="N203" s="770">
        <v>0</v>
      </c>
      <c r="O203" s="765"/>
      <c r="P203" s="778"/>
      <c r="Q203" s="1876"/>
      <c r="R203" s="1877"/>
      <c r="S203" s="1877"/>
      <c r="T203" s="1879"/>
      <c r="U203" s="768"/>
      <c r="V203" s="485"/>
      <c r="W203" s="189" t="s">
        <v>278</v>
      </c>
    </row>
    <row r="204" spans="2:22" ht="12.75">
      <c r="B204" s="757"/>
      <c r="C204" s="757"/>
      <c r="D204" s="757"/>
      <c r="E204" s="757"/>
      <c r="F204" s="757"/>
      <c r="G204" s="779"/>
      <c r="H204" s="1871"/>
      <c r="I204" s="1872"/>
      <c r="J204" s="1872"/>
      <c r="K204" s="1872"/>
      <c r="L204" s="1872"/>
      <c r="M204" s="1872"/>
      <c r="N204" s="764" t="e">
        <f>+N201-N203</f>
        <v>#N/A</v>
      </c>
      <c r="O204" s="765"/>
      <c r="P204" s="780">
        <v>9</v>
      </c>
      <c r="Q204" s="1880" t="s">
        <v>274</v>
      </c>
      <c r="R204" s="1864"/>
      <c r="S204" s="1873"/>
      <c r="T204" s="781"/>
      <c r="U204" s="782">
        <f>IF(U202&gt;150001,150000,IF(AND(U202&lt;150001),U202))</f>
        <v>2400</v>
      </c>
      <c r="V204" s="485"/>
    </row>
    <row r="205" spans="2:24" ht="13.5" thickBot="1">
      <c r="B205" s="757"/>
      <c r="C205" s="757"/>
      <c r="D205" s="757"/>
      <c r="E205" s="757"/>
      <c r="F205" s="757"/>
      <c r="G205" s="779"/>
      <c r="H205" s="1871"/>
      <c r="I205" s="1872"/>
      <c r="J205" s="1872"/>
      <c r="K205" s="1872"/>
      <c r="L205" s="1872"/>
      <c r="M205" s="1872"/>
      <c r="N205" s="768"/>
      <c r="O205" s="765"/>
      <c r="P205" s="780"/>
      <c r="Q205" s="1880"/>
      <c r="R205" s="1864"/>
      <c r="S205" s="1873"/>
      <c r="T205" s="783"/>
      <c r="U205" s="770"/>
      <c r="W205" s="1752" t="e">
        <f>+U209</f>
        <v>#N/A</v>
      </c>
      <c r="X205" s="1753"/>
    </row>
    <row r="206" spans="2:24" ht="12.75">
      <c r="B206" s="757"/>
      <c r="C206" s="757"/>
      <c r="D206" s="757"/>
      <c r="E206" s="757"/>
      <c r="F206" s="757"/>
      <c r="G206" s="763">
        <v>7</v>
      </c>
      <c r="H206" s="1863" t="s">
        <v>39</v>
      </c>
      <c r="I206" s="1864"/>
      <c r="J206" s="1864"/>
      <c r="K206" s="1864"/>
      <c r="L206" s="1864"/>
      <c r="M206" s="1864"/>
      <c r="N206" s="768" t="e">
        <f>N204</f>
        <v>#N/A</v>
      </c>
      <c r="O206" s="765"/>
      <c r="P206" s="784"/>
      <c r="Q206" s="1876"/>
      <c r="R206" s="1877"/>
      <c r="S206" s="1877"/>
      <c r="T206" s="1879"/>
      <c r="U206" s="785">
        <f>+U204+U205</f>
        <v>2400</v>
      </c>
      <c r="W206" s="1761" t="e">
        <f>+T210</f>
        <v>#N/A</v>
      </c>
      <c r="X206" s="1762"/>
    </row>
    <row r="207" spans="2:24" ht="12.75">
      <c r="B207" s="757"/>
      <c r="C207" s="757"/>
      <c r="D207" s="757"/>
      <c r="E207" s="757"/>
      <c r="F207" s="757"/>
      <c r="G207" s="779"/>
      <c r="H207" s="1863" t="s">
        <v>41</v>
      </c>
      <c r="I207" s="1864"/>
      <c r="J207" s="1864"/>
      <c r="K207" s="1864"/>
      <c r="L207" s="1873"/>
      <c r="M207" s="769" t="s">
        <v>35</v>
      </c>
      <c r="N207" s="772">
        <f>+U206</f>
        <v>2400</v>
      </c>
      <c r="O207" s="765"/>
      <c r="P207" s="780">
        <v>10</v>
      </c>
      <c r="Q207" s="1880" t="str">
        <f>+H210</f>
        <v>TAXABLE INCOME ROUNDED OFF</v>
      </c>
      <c r="R207" s="1864"/>
      <c r="S207" s="1864"/>
      <c r="T207" s="1881"/>
      <c r="U207" s="768" t="e">
        <f>+N210</f>
        <v>#N/A</v>
      </c>
      <c r="W207" s="1752" t="e">
        <f>+W205-W206</f>
        <v>#N/A</v>
      </c>
      <c r="X207" s="1753"/>
    </row>
    <row r="208" spans="2:24" ht="13.5" thickBot="1">
      <c r="B208" s="757"/>
      <c r="C208" s="757"/>
      <c r="D208" s="757"/>
      <c r="E208" s="757"/>
      <c r="F208" s="757"/>
      <c r="G208" s="779"/>
      <c r="H208" s="1871"/>
      <c r="I208" s="1872"/>
      <c r="J208" s="1872"/>
      <c r="K208" s="1872"/>
      <c r="L208" s="1872"/>
      <c r="M208" s="1872"/>
      <c r="N208" s="768"/>
      <c r="O208" s="765"/>
      <c r="P208" s="780">
        <v>11</v>
      </c>
      <c r="Q208" s="1880" t="str">
        <f>VLOOKUP(AO6,AW6:AX7,2)</f>
        <v>UPTO RS.250000/= (   NIL  )</v>
      </c>
      <c r="R208" s="1864"/>
      <c r="S208" s="1864"/>
      <c r="T208" s="1881"/>
      <c r="U208" s="786">
        <f>VLOOKUP(AO6,AP6:AQ7,2,FALSE)</f>
        <v>250000</v>
      </c>
      <c r="W208" s="1761" t="e">
        <f>+T211</f>
        <v>#N/A</v>
      </c>
      <c r="X208" s="1762"/>
    </row>
    <row r="209" spans="2:24" ht="13.5" thickBot="1">
      <c r="B209" s="757"/>
      <c r="C209" s="757"/>
      <c r="D209" s="757"/>
      <c r="E209" s="757"/>
      <c r="F209" s="757"/>
      <c r="G209" s="779"/>
      <c r="H209" s="1863" t="s">
        <v>43</v>
      </c>
      <c r="I209" s="1864"/>
      <c r="J209" s="1864"/>
      <c r="K209" s="1864"/>
      <c r="L209" s="1864"/>
      <c r="M209" s="1864"/>
      <c r="N209" s="768" t="e">
        <f>+N206-N207</f>
        <v>#N/A</v>
      </c>
      <c r="O209" s="765"/>
      <c r="P209" s="778"/>
      <c r="Q209" s="1882"/>
      <c r="R209" s="1883"/>
      <c r="S209" s="1883"/>
      <c r="T209" s="1884"/>
      <c r="U209" s="787" t="e">
        <f>+U207-U208</f>
        <v>#N/A</v>
      </c>
      <c r="W209" s="1752" t="e">
        <f>+W207-W208</f>
        <v>#N/A</v>
      </c>
      <c r="X209" s="1753"/>
    </row>
    <row r="210" spans="2:34" ht="12.75">
      <c r="B210" s="757"/>
      <c r="C210" s="757"/>
      <c r="D210" s="757"/>
      <c r="E210" s="757"/>
      <c r="F210" s="757"/>
      <c r="G210" s="779"/>
      <c r="H210" s="1863" t="s">
        <v>44</v>
      </c>
      <c r="I210" s="1864"/>
      <c r="J210" s="1864"/>
      <c r="K210" s="1864"/>
      <c r="L210" s="1864"/>
      <c r="M210" s="1864"/>
      <c r="N210" s="772" t="e">
        <f>ROUND(+N209,-1)</f>
        <v>#N/A</v>
      </c>
      <c r="O210" s="765"/>
      <c r="P210" s="767">
        <v>12</v>
      </c>
      <c r="Q210" s="1885" t="s">
        <v>370</v>
      </c>
      <c r="R210" s="1886"/>
      <c r="S210" s="1887"/>
      <c r="T210" s="788" t="e">
        <f>VLOOKUP(AO6,AW12:AX13,2)</f>
        <v>#N/A</v>
      </c>
      <c r="U210" s="789" t="e">
        <f>ROUND(+T210*10%,0)</f>
        <v>#N/A</v>
      </c>
      <c r="Z210" s="11"/>
      <c r="AB210" s="11"/>
      <c r="AH210" s="11"/>
    </row>
    <row r="211" spans="2:34" ht="12.75">
      <c r="B211" s="757"/>
      <c r="C211" s="757"/>
      <c r="D211" s="757"/>
      <c r="E211" s="757"/>
      <c r="F211" s="757"/>
      <c r="G211" s="779"/>
      <c r="H211" s="1871"/>
      <c r="I211" s="1872"/>
      <c r="J211" s="1872"/>
      <c r="K211" s="1872"/>
      <c r="L211" s="1872"/>
      <c r="M211" s="1872"/>
      <c r="N211" s="768"/>
      <c r="O211" s="765"/>
      <c r="P211" s="783"/>
      <c r="Q211" s="1888" t="s">
        <v>227</v>
      </c>
      <c r="R211" s="1864"/>
      <c r="S211" s="1873"/>
      <c r="T211" s="790" t="e">
        <f>IF(U209&gt;600000,BH7,IF(U209&lt;600000,BH6,0))</f>
        <v>#N/A</v>
      </c>
      <c r="U211" s="768" t="e">
        <f>ROUND(+T211*20%,0)</f>
        <v>#N/A</v>
      </c>
      <c r="Z211" s="32"/>
      <c r="AH211" s="11"/>
    </row>
    <row r="212" spans="2:26" ht="13.5" thickBot="1">
      <c r="B212" s="757"/>
      <c r="C212" s="757"/>
      <c r="D212" s="757"/>
      <c r="E212" s="757"/>
      <c r="F212" s="757"/>
      <c r="G212" s="779"/>
      <c r="H212" s="1871"/>
      <c r="I212" s="1872"/>
      <c r="J212" s="1872"/>
      <c r="K212" s="1872"/>
      <c r="L212" s="1872"/>
      <c r="M212" s="1872"/>
      <c r="N212" s="768"/>
      <c r="O212" s="765"/>
      <c r="P212" s="783"/>
      <c r="Q212" s="1889" t="s">
        <v>284</v>
      </c>
      <c r="R212" s="1890"/>
      <c r="S212" s="1891"/>
      <c r="T212" s="791" t="e">
        <f>IF(U209&gt;2000000,2000000,IF(U209&lt;2000000,U209-T210-T211,0))</f>
        <v>#N/A</v>
      </c>
      <c r="U212" s="786" t="e">
        <f>ROUND(+T212*30%,0)</f>
        <v>#N/A</v>
      </c>
      <c r="W212" s="48"/>
      <c r="Z212" s="32"/>
    </row>
    <row r="213" spans="2:23" ht="13.5" thickBot="1">
      <c r="B213" s="757"/>
      <c r="C213" s="757"/>
      <c r="D213" s="757"/>
      <c r="E213" s="757"/>
      <c r="F213" s="757"/>
      <c r="G213" s="792"/>
      <c r="H213" s="1863" t="s">
        <v>46</v>
      </c>
      <c r="I213" s="1864"/>
      <c r="J213" s="1864"/>
      <c r="K213" s="1864"/>
      <c r="L213" s="1864"/>
      <c r="M213" s="1864"/>
      <c r="N213" s="768" t="e">
        <f>+U218</f>
        <v>#N/A</v>
      </c>
      <c r="O213" s="793"/>
      <c r="P213" s="781"/>
      <c r="Q213" s="1892" t="s">
        <v>3</v>
      </c>
      <c r="R213" s="1893"/>
      <c r="S213" s="384" t="e">
        <f>+U209</f>
        <v>#N/A</v>
      </c>
      <c r="T213" s="794" t="e">
        <f>SUM(T210:T212)</f>
        <v>#N/A</v>
      </c>
      <c r="U213" s="795" t="e">
        <f>SUM(U210:U212)</f>
        <v>#N/A</v>
      </c>
      <c r="W213" s="48"/>
    </row>
    <row r="214" spans="2:23" ht="13.5" thickBot="1">
      <c r="B214" s="757"/>
      <c r="C214" s="757"/>
      <c r="D214" s="757"/>
      <c r="E214" s="757"/>
      <c r="F214" s="757"/>
      <c r="G214" s="792"/>
      <c r="H214" s="1871"/>
      <c r="I214" s="1872"/>
      <c r="J214" s="1872"/>
      <c r="K214" s="1872"/>
      <c r="L214" s="1872"/>
      <c r="M214" s="1872"/>
      <c r="N214" s="768"/>
      <c r="O214" s="793"/>
      <c r="P214" s="780">
        <v>13</v>
      </c>
      <c r="Q214" s="1894" t="s">
        <v>45</v>
      </c>
      <c r="R214" s="1895"/>
      <c r="S214" s="1896"/>
      <c r="T214" s="781"/>
      <c r="U214" s="768" t="e">
        <f>+U213</f>
        <v>#N/A</v>
      </c>
      <c r="W214" s="1"/>
    </row>
    <row r="215" spans="2:21" ht="13.5" thickBot="1">
      <c r="B215" s="1897" t="s">
        <v>56</v>
      </c>
      <c r="C215" s="1898"/>
      <c r="D215" s="1898"/>
      <c r="E215" s="1899"/>
      <c r="F215" s="757"/>
      <c r="G215" s="792"/>
      <c r="H215" s="1900" t="s">
        <v>83</v>
      </c>
      <c r="I215" s="1901"/>
      <c r="J215" s="1901"/>
      <c r="K215" s="1901"/>
      <c r="L215" s="1901"/>
      <c r="M215" s="1901"/>
      <c r="N215" s="770">
        <f>+C222</f>
        <v>0</v>
      </c>
      <c r="O215" s="793"/>
      <c r="P215" s="780">
        <v>14</v>
      </c>
      <c r="Q215" s="1880" t="s">
        <v>229</v>
      </c>
      <c r="R215" s="1864"/>
      <c r="S215" s="1864"/>
      <c r="T215" s="1873"/>
      <c r="U215" s="796" t="s">
        <v>371</v>
      </c>
    </row>
    <row r="216" spans="2:21" ht="13.5" thickBot="1">
      <c r="B216" s="797" t="s">
        <v>57</v>
      </c>
      <c r="C216" s="798" t="s">
        <v>58</v>
      </c>
      <c r="D216" s="1905" t="s">
        <v>59</v>
      </c>
      <c r="E216" s="1906"/>
      <c r="F216" s="757"/>
      <c r="G216" s="792"/>
      <c r="H216" s="1871"/>
      <c r="I216" s="1872"/>
      <c r="J216" s="1872"/>
      <c r="K216" s="1872"/>
      <c r="L216" s="1872"/>
      <c r="M216" s="1872"/>
      <c r="N216" s="785" t="e">
        <f>+N213-N215</f>
        <v>#N/A</v>
      </c>
      <c r="O216" s="793"/>
      <c r="P216" s="767"/>
      <c r="Q216" s="1907" t="s">
        <v>45</v>
      </c>
      <c r="R216" s="1907"/>
      <c r="S216" s="1907"/>
      <c r="T216" s="799"/>
      <c r="U216" s="764" t="e">
        <f>U214-U215</f>
        <v>#N/A</v>
      </c>
    </row>
    <row r="217" spans="2:27" ht="13.5" thickBot="1">
      <c r="B217" s="800"/>
      <c r="C217" s="801">
        <v>0</v>
      </c>
      <c r="D217" s="1908"/>
      <c r="E217" s="1909"/>
      <c r="F217" s="757"/>
      <c r="G217" s="792"/>
      <c r="H217" s="1863" t="s">
        <v>47</v>
      </c>
      <c r="I217" s="1864"/>
      <c r="J217" s="1864"/>
      <c r="K217" s="1864"/>
      <c r="L217" s="1864"/>
      <c r="M217" s="1864"/>
      <c r="N217" s="786">
        <f>+U23</f>
        <v>-9398</v>
      </c>
      <c r="O217" s="793"/>
      <c r="P217" s="780">
        <v>15</v>
      </c>
      <c r="Q217" s="1860" t="s">
        <v>285</v>
      </c>
      <c r="R217" s="1861"/>
      <c r="S217" s="1861"/>
      <c r="T217" s="1881"/>
      <c r="U217" s="786" t="e">
        <f>ROUND(+U216*3%,0)</f>
        <v>#N/A</v>
      </c>
      <c r="AA217" s="692"/>
    </row>
    <row r="218" spans="2:21" ht="13.5" thickBot="1">
      <c r="B218" s="802"/>
      <c r="C218" s="803"/>
      <c r="D218" s="1927"/>
      <c r="E218" s="1928"/>
      <c r="F218" s="757"/>
      <c r="G218" s="792"/>
      <c r="H218" s="1863" t="s">
        <v>48</v>
      </c>
      <c r="I218" s="1864"/>
      <c r="J218" s="1864"/>
      <c r="K218" s="1864"/>
      <c r="L218" s="1864"/>
      <c r="M218" s="1864"/>
      <c r="N218" s="804" t="e">
        <f>+N216-N217</f>
        <v>#N/A</v>
      </c>
      <c r="O218" s="793"/>
      <c r="P218" s="780">
        <v>16</v>
      </c>
      <c r="Q218" s="1880" t="s">
        <v>49</v>
      </c>
      <c r="R218" s="1864"/>
      <c r="S218" s="1864"/>
      <c r="T218" s="1881"/>
      <c r="U218" s="768" t="e">
        <f>U216+U217</f>
        <v>#N/A</v>
      </c>
    </row>
    <row r="219" spans="2:21" ht="26.25" customHeight="1" thickBot="1">
      <c r="B219" s="802"/>
      <c r="C219" s="803"/>
      <c r="D219" s="1929"/>
      <c r="E219" s="1928"/>
      <c r="F219" s="757"/>
      <c r="G219" s="1930" t="s">
        <v>372</v>
      </c>
      <c r="H219" s="1738"/>
      <c r="I219" s="1738"/>
      <c r="J219" s="1738"/>
      <c r="K219" s="1738"/>
      <c r="L219" s="1738"/>
      <c r="M219" s="1738"/>
      <c r="N219" s="1738"/>
      <c r="O219" s="1738"/>
      <c r="P219" s="1738"/>
      <c r="Q219" s="1738"/>
      <c r="R219" s="1738"/>
      <c r="S219" s="1738"/>
      <c r="T219" s="1738"/>
      <c r="U219" s="1739"/>
    </row>
    <row r="220" spans="2:42" ht="12.75">
      <c r="B220" s="802"/>
      <c r="C220" s="803"/>
      <c r="D220" s="1929"/>
      <c r="E220" s="1928"/>
      <c r="F220" s="757"/>
      <c r="G220" s="1902" t="s">
        <v>54</v>
      </c>
      <c r="H220" s="1903"/>
      <c r="I220" s="1903"/>
      <c r="J220" s="1903"/>
      <c r="K220" s="1903"/>
      <c r="L220" s="1903"/>
      <c r="M220" s="1903"/>
      <c r="N220" s="1903"/>
      <c r="O220" s="1903"/>
      <c r="P220" s="1903"/>
      <c r="Q220" s="1903"/>
      <c r="R220" s="1903"/>
      <c r="S220" s="1903"/>
      <c r="T220" s="1903"/>
      <c r="U220" s="1904"/>
      <c r="AK220" s="2"/>
      <c r="AL220" s="46"/>
      <c r="AM220" s="1"/>
      <c r="AN220" s="1"/>
      <c r="AO220" s="1"/>
      <c r="AP220" s="1"/>
    </row>
    <row r="221" spans="2:42" ht="13.5" thickBot="1">
      <c r="B221" s="806"/>
      <c r="C221" s="807"/>
      <c r="D221" s="1925"/>
      <c r="E221" s="1926"/>
      <c r="F221" s="757"/>
      <c r="G221" s="1902" t="s">
        <v>373</v>
      </c>
      <c r="H221" s="1903"/>
      <c r="I221" s="1903"/>
      <c r="J221" s="1903"/>
      <c r="K221" s="1903"/>
      <c r="L221" s="1903"/>
      <c r="M221" s="1903"/>
      <c r="N221" s="1903"/>
      <c r="O221" s="1903"/>
      <c r="P221" s="1903"/>
      <c r="Q221" s="1903"/>
      <c r="R221" s="1903"/>
      <c r="S221" s="1903"/>
      <c r="T221" s="1903"/>
      <c r="U221" s="1904"/>
      <c r="AK221" s="2"/>
      <c r="AL221" s="46"/>
      <c r="AM221" s="1"/>
      <c r="AN221" s="1"/>
      <c r="AO221" s="1"/>
      <c r="AP221" s="1"/>
    </row>
    <row r="222" spans="2:42" ht="13.5" thickBot="1">
      <c r="B222" s="809" t="s">
        <v>3</v>
      </c>
      <c r="C222" s="798">
        <f>SUM(C217:C221)</f>
        <v>0</v>
      </c>
      <c r="D222" s="1905"/>
      <c r="E222" s="1906"/>
      <c r="F222" s="757"/>
      <c r="G222" s="810"/>
      <c r="H222" s="811"/>
      <c r="I222" s="811"/>
      <c r="J222" s="811"/>
      <c r="K222" s="811"/>
      <c r="L222" s="811"/>
      <c r="M222" s="811"/>
      <c r="N222" s="811"/>
      <c r="O222" s="811"/>
      <c r="P222" s="811"/>
      <c r="Q222" s="811"/>
      <c r="R222" s="811"/>
      <c r="S222" s="812" t="s">
        <v>50</v>
      </c>
      <c r="T222" s="811"/>
      <c r="U222" s="813"/>
      <c r="AK222" s="2"/>
      <c r="AL222" s="46"/>
      <c r="AM222" s="1"/>
      <c r="AN222" s="1"/>
      <c r="AO222" s="1"/>
      <c r="AP222" s="1"/>
    </row>
    <row r="223" spans="2:42" ht="12.75">
      <c r="B223" s="757"/>
      <c r="C223" s="757"/>
      <c r="D223" s="757"/>
      <c r="E223" s="757"/>
      <c r="F223" s="757"/>
      <c r="G223" s="757"/>
      <c r="H223" s="757"/>
      <c r="I223" s="814"/>
      <c r="J223" s="814"/>
      <c r="K223" s="814"/>
      <c r="L223" s="814"/>
      <c r="M223" s="814"/>
      <c r="N223" s="814"/>
      <c r="O223" s="757"/>
      <c r="P223" s="757"/>
      <c r="Q223" s="757"/>
      <c r="R223" s="757"/>
      <c r="S223" s="757"/>
      <c r="T223" s="757"/>
      <c r="U223" s="757"/>
      <c r="AK223" s="1"/>
      <c r="AL223" s="34"/>
      <c r="AM223" s="34"/>
      <c r="AN223" s="1"/>
      <c r="AO223" s="1"/>
      <c r="AP223" s="1"/>
    </row>
    <row r="224" spans="2:36" ht="13.5" thickBot="1">
      <c r="B224" s="757"/>
      <c r="C224" s="757"/>
      <c r="D224" s="757"/>
      <c r="E224" s="757"/>
      <c r="F224" s="757"/>
      <c r="G224" s="757"/>
      <c r="H224" s="757"/>
      <c r="I224" s="757"/>
      <c r="J224" s="757"/>
      <c r="K224" s="757"/>
      <c r="L224" s="757"/>
      <c r="M224" s="757"/>
      <c r="N224" s="757"/>
      <c r="O224" s="757"/>
      <c r="P224" s="757"/>
      <c r="Q224" s="757"/>
      <c r="R224" s="757"/>
      <c r="S224" s="757"/>
      <c r="T224" s="757"/>
      <c r="U224" s="757"/>
      <c r="AJ224" s="3"/>
    </row>
    <row r="225" spans="2:36" ht="13.5" thickBot="1">
      <c r="B225" s="1897" t="s">
        <v>60</v>
      </c>
      <c r="C225" s="1916"/>
      <c r="D225" s="1898"/>
      <c r="E225" s="1899"/>
      <c r="F225" s="757"/>
      <c r="G225" s="815" t="e">
        <f>+U218</f>
        <v>#N/A</v>
      </c>
      <c r="H225" s="816"/>
      <c r="I225" s="817" t="e">
        <f>[2]!NUM2TEXT(+G225)</f>
        <v>#NAME?</v>
      </c>
      <c r="J225" s="757"/>
      <c r="K225" s="757"/>
      <c r="L225" s="757"/>
      <c r="M225" s="757"/>
      <c r="N225" s="818"/>
      <c r="O225" s="819"/>
      <c r="P225" s="819"/>
      <c r="Q225" s="819"/>
      <c r="R225" s="819"/>
      <c r="S225" s="819"/>
      <c r="T225" s="819"/>
      <c r="U225" s="819"/>
      <c r="AJ225" s="3"/>
    </row>
    <row r="226" spans="2:36" ht="13.5" thickBot="1">
      <c r="B226" s="820" t="s">
        <v>61</v>
      </c>
      <c r="C226" s="821" t="s">
        <v>62</v>
      </c>
      <c r="D226" s="822" t="s">
        <v>48</v>
      </c>
      <c r="E226" s="823" t="s">
        <v>63</v>
      </c>
      <c r="F226" s="757"/>
      <c r="G226" s="757"/>
      <c r="H226" s="757"/>
      <c r="I226" s="757"/>
      <c r="J226" s="757"/>
      <c r="K226" s="757"/>
      <c r="L226" s="757"/>
      <c r="M226" s="757"/>
      <c r="N226" s="818"/>
      <c r="O226" s="819"/>
      <c r="P226" s="819"/>
      <c r="Q226" s="819"/>
      <c r="R226" s="819"/>
      <c r="S226" s="819"/>
      <c r="T226" s="819"/>
      <c r="U226" s="819"/>
      <c r="AJ226" s="3"/>
    </row>
    <row r="227" spans="2:36" ht="12.75">
      <c r="B227" s="824" t="e">
        <f>+U218</f>
        <v>#N/A</v>
      </c>
      <c r="C227" s="825">
        <v>0</v>
      </c>
      <c r="D227" s="826" t="e">
        <f>+B227-C227</f>
        <v>#N/A</v>
      </c>
      <c r="E227" s="827"/>
      <c r="F227" s="757"/>
      <c r="G227" s="757"/>
      <c r="H227" s="757"/>
      <c r="I227" s="757"/>
      <c r="J227" s="757"/>
      <c r="K227" s="757"/>
      <c r="L227" s="757"/>
      <c r="M227" s="757"/>
      <c r="N227" s="819"/>
      <c r="O227" s="819"/>
      <c r="P227" s="819"/>
      <c r="Q227" s="819"/>
      <c r="R227" s="819"/>
      <c r="S227" s="819"/>
      <c r="T227" s="819"/>
      <c r="U227" s="819"/>
      <c r="AJ227" s="3"/>
    </row>
    <row r="228" spans="2:36" ht="12.75">
      <c r="B228" s="828"/>
      <c r="C228" s="805"/>
      <c r="D228" s="829"/>
      <c r="E228" s="830"/>
      <c r="F228" s="757"/>
      <c r="G228" s="757"/>
      <c r="H228" s="757"/>
      <c r="I228" s="757"/>
      <c r="J228" s="757"/>
      <c r="K228" s="757"/>
      <c r="L228" s="757"/>
      <c r="M228" s="757"/>
      <c r="N228" s="831"/>
      <c r="O228" s="819"/>
      <c r="P228" s="819"/>
      <c r="Q228" s="819"/>
      <c r="R228" s="819"/>
      <c r="S228" s="819"/>
      <c r="T228" s="819"/>
      <c r="U228" s="819"/>
      <c r="AJ228" s="3"/>
    </row>
    <row r="229" spans="2:36" ht="12.75">
      <c r="B229" s="828"/>
      <c r="C229" s="805"/>
      <c r="D229" s="832"/>
      <c r="E229" s="830"/>
      <c r="F229" s="757"/>
      <c r="G229" s="833"/>
      <c r="H229" s="833"/>
      <c r="I229" s="833"/>
      <c r="J229" s="834"/>
      <c r="K229" s="834"/>
      <c r="L229" s="834"/>
      <c r="M229" s="834"/>
      <c r="N229" s="831"/>
      <c r="O229" s="834"/>
      <c r="P229" s="834"/>
      <c r="Q229" s="834"/>
      <c r="R229" s="819"/>
      <c r="S229" s="819"/>
      <c r="T229" s="819"/>
      <c r="U229" s="819"/>
      <c r="AJ229" s="3"/>
    </row>
    <row r="230" spans="2:36" ht="12.75">
      <c r="B230" s="828"/>
      <c r="C230" s="805"/>
      <c r="D230" s="832"/>
      <c r="E230" s="830"/>
      <c r="F230" s="757"/>
      <c r="G230" s="834"/>
      <c r="H230" s="834"/>
      <c r="I230" s="834"/>
      <c r="J230" s="834"/>
      <c r="K230" s="834"/>
      <c r="L230" s="819"/>
      <c r="M230" s="819"/>
      <c r="N230" s="831"/>
      <c r="O230" s="835"/>
      <c r="P230" s="834"/>
      <c r="Q230" s="834"/>
      <c r="R230" s="819"/>
      <c r="S230" s="819"/>
      <c r="T230" s="819"/>
      <c r="U230" s="819"/>
      <c r="AJ230" s="3"/>
    </row>
    <row r="231" spans="2:36" ht="13.5" thickBot="1">
      <c r="B231" s="836"/>
      <c r="C231" s="808"/>
      <c r="D231" s="837"/>
      <c r="E231" s="838"/>
      <c r="F231" s="757"/>
      <c r="G231" s="834"/>
      <c r="H231" s="834"/>
      <c r="I231" s="834"/>
      <c r="J231" s="834"/>
      <c r="K231" s="834"/>
      <c r="L231" s="819"/>
      <c r="M231" s="819"/>
      <c r="N231" s="834"/>
      <c r="O231" s="835"/>
      <c r="P231" s="834"/>
      <c r="Q231" s="834"/>
      <c r="R231" s="839"/>
      <c r="S231" s="839"/>
      <c r="T231" s="839"/>
      <c r="U231" s="819"/>
      <c r="AJ231" s="3"/>
    </row>
    <row r="232" spans="2:36" ht="13.5" thickBot="1">
      <c r="B232" s="820" t="e">
        <f>SUM(B227:B231)</f>
        <v>#N/A</v>
      </c>
      <c r="C232" s="820">
        <f>SUM(C227:C231)</f>
        <v>0</v>
      </c>
      <c r="D232" s="820" t="e">
        <f>SUM(D227:D231)</f>
        <v>#N/A</v>
      </c>
      <c r="E232" s="840"/>
      <c r="F232" s="757"/>
      <c r="G232" s="841"/>
      <c r="H232" s="841"/>
      <c r="I232" s="841"/>
      <c r="J232" s="841"/>
      <c r="K232" s="841"/>
      <c r="L232" s="841"/>
      <c r="M232" s="819"/>
      <c r="N232" s="834"/>
      <c r="O232" s="835"/>
      <c r="P232" s="834"/>
      <c r="Q232" s="834"/>
      <c r="R232" s="819"/>
      <c r="S232" s="819"/>
      <c r="T232" s="819"/>
      <c r="U232" s="819"/>
      <c r="AJ232" s="3"/>
    </row>
    <row r="233" spans="2:36" ht="12.75">
      <c r="B233" s="757"/>
      <c r="C233" s="757"/>
      <c r="D233" s="757"/>
      <c r="E233" s="757"/>
      <c r="F233" s="757"/>
      <c r="G233" s="834"/>
      <c r="H233" s="834"/>
      <c r="I233" s="834"/>
      <c r="J233" s="834"/>
      <c r="K233" s="834"/>
      <c r="L233" s="834"/>
      <c r="M233" s="819"/>
      <c r="N233" s="819"/>
      <c r="O233" s="835"/>
      <c r="P233" s="834"/>
      <c r="Q233" s="834"/>
      <c r="R233" s="839"/>
      <c r="S233" s="831"/>
      <c r="T233" s="839"/>
      <c r="U233" s="819"/>
      <c r="AJ233" s="1"/>
    </row>
    <row r="234" spans="2:21" ht="12.75">
      <c r="B234" s="757"/>
      <c r="C234" s="757"/>
      <c r="D234" s="757"/>
      <c r="E234" s="757"/>
      <c r="F234" s="757"/>
      <c r="G234" s="834"/>
      <c r="H234" s="834"/>
      <c r="I234" s="834"/>
      <c r="J234" s="834"/>
      <c r="K234" s="834"/>
      <c r="L234" s="834"/>
      <c r="M234" s="834"/>
      <c r="N234" s="834"/>
      <c r="O234" s="835"/>
      <c r="P234" s="834"/>
      <c r="Q234" s="834"/>
      <c r="R234" s="819"/>
      <c r="S234" s="819"/>
      <c r="T234" s="819"/>
      <c r="U234" s="819"/>
    </row>
    <row r="235" spans="2:21" ht="12.75">
      <c r="B235" s="757"/>
      <c r="C235" s="757"/>
      <c r="D235" s="757"/>
      <c r="E235" s="757"/>
      <c r="F235" s="757"/>
      <c r="G235" s="834"/>
      <c r="H235" s="834"/>
      <c r="I235" s="834"/>
      <c r="J235" s="834"/>
      <c r="K235" s="834"/>
      <c r="L235" s="834"/>
      <c r="M235" s="834"/>
      <c r="N235" s="834"/>
      <c r="O235" s="834"/>
      <c r="P235" s="834"/>
      <c r="Q235" s="834"/>
      <c r="R235" s="839"/>
      <c r="S235" s="839"/>
      <c r="T235" s="839"/>
      <c r="U235" s="819"/>
    </row>
    <row r="236" spans="2:21" ht="12.75">
      <c r="B236" s="757"/>
      <c r="C236" s="757"/>
      <c r="D236" s="757"/>
      <c r="E236" s="757"/>
      <c r="F236" s="757"/>
      <c r="G236" s="834"/>
      <c r="H236" s="834"/>
      <c r="I236" s="834"/>
      <c r="J236" s="834"/>
      <c r="K236" s="834"/>
      <c r="L236" s="834"/>
      <c r="M236" s="834"/>
      <c r="N236" s="834"/>
      <c r="O236" s="834"/>
      <c r="P236" s="834"/>
      <c r="Q236" s="834"/>
      <c r="R236" s="819"/>
      <c r="S236" s="819"/>
      <c r="T236" s="819"/>
      <c r="U236" s="819"/>
    </row>
    <row r="237" spans="2:21" ht="12.75">
      <c r="B237" s="757"/>
      <c r="C237" s="757"/>
      <c r="D237" s="757"/>
      <c r="E237" s="757"/>
      <c r="F237" s="757"/>
      <c r="G237" s="834"/>
      <c r="H237" s="834"/>
      <c r="I237" s="834"/>
      <c r="J237" s="834"/>
      <c r="K237" s="834"/>
      <c r="L237" s="834"/>
      <c r="M237" s="834"/>
      <c r="N237" s="842"/>
      <c r="O237" s="834"/>
      <c r="P237" s="819"/>
      <c r="Q237" s="819"/>
      <c r="R237" s="839"/>
      <c r="S237" s="839"/>
      <c r="T237" s="839"/>
      <c r="U237" s="819"/>
    </row>
    <row r="238" spans="2:21" ht="12.75">
      <c r="B238" s="757"/>
      <c r="C238" s="757"/>
      <c r="D238" s="757"/>
      <c r="E238" s="757"/>
      <c r="F238" s="757"/>
      <c r="G238" s="834"/>
      <c r="H238" s="834"/>
      <c r="I238" s="834"/>
      <c r="J238" s="834"/>
      <c r="K238" s="834"/>
      <c r="L238" s="834"/>
      <c r="M238" s="834"/>
      <c r="N238" s="834"/>
      <c r="O238" s="819"/>
      <c r="P238" s="834"/>
      <c r="Q238" s="819"/>
      <c r="R238" s="839"/>
      <c r="S238" s="819"/>
      <c r="T238" s="839"/>
      <c r="U238" s="819"/>
    </row>
    <row r="239" spans="2:21" ht="12.75">
      <c r="B239" s="757"/>
      <c r="C239" s="757"/>
      <c r="D239" s="757"/>
      <c r="E239" s="757"/>
      <c r="F239" s="757"/>
      <c r="G239" s="757"/>
      <c r="H239" s="757"/>
      <c r="I239" s="757"/>
      <c r="J239" s="757"/>
      <c r="K239" s="757"/>
      <c r="L239" s="757"/>
      <c r="M239" s="757"/>
      <c r="N239" s="819"/>
      <c r="O239" s="819"/>
      <c r="P239" s="819"/>
      <c r="Q239" s="819"/>
      <c r="R239" s="819"/>
      <c r="S239" s="819"/>
      <c r="T239" s="819"/>
      <c r="U239" s="819"/>
    </row>
    <row r="240" spans="2:21" ht="12.75">
      <c r="B240" s="757"/>
      <c r="C240" s="757"/>
      <c r="D240" s="757"/>
      <c r="E240" s="757"/>
      <c r="F240" s="757"/>
      <c r="G240" s="757"/>
      <c r="H240" s="757"/>
      <c r="I240" s="757"/>
      <c r="J240" s="757"/>
      <c r="K240" s="757"/>
      <c r="L240" s="757"/>
      <c r="M240" s="757"/>
      <c r="N240" s="819"/>
      <c r="O240" s="819"/>
      <c r="P240" s="819"/>
      <c r="Q240" s="819"/>
      <c r="R240" s="819"/>
      <c r="S240" s="839"/>
      <c r="T240" s="839"/>
      <c r="U240" s="819"/>
    </row>
    <row r="241" spans="2:21" ht="12.75">
      <c r="B241" s="757"/>
      <c r="C241" s="757"/>
      <c r="D241" s="757"/>
      <c r="E241" s="757"/>
      <c r="F241" s="757"/>
      <c r="G241" s="757"/>
      <c r="H241" s="757"/>
      <c r="I241" s="757"/>
      <c r="J241" s="757"/>
      <c r="K241" s="757"/>
      <c r="L241" s="757"/>
      <c r="M241" s="757"/>
      <c r="N241" s="819"/>
      <c r="O241" s="819"/>
      <c r="P241" s="819"/>
      <c r="Q241" s="819"/>
      <c r="R241" s="819"/>
      <c r="S241" s="819"/>
      <c r="T241" s="839"/>
      <c r="U241" s="819"/>
    </row>
    <row r="242" spans="2:21" ht="12.75">
      <c r="B242" s="757"/>
      <c r="C242" s="757"/>
      <c r="D242" s="757"/>
      <c r="E242" s="757"/>
      <c r="F242" s="757"/>
      <c r="G242" s="757"/>
      <c r="H242" s="757"/>
      <c r="I242" s="757"/>
      <c r="J242" s="757"/>
      <c r="K242" s="757"/>
      <c r="L242" s="757"/>
      <c r="M242" s="757"/>
      <c r="N242" s="819"/>
      <c r="O242" s="819"/>
      <c r="P242" s="819"/>
      <c r="Q242" s="819"/>
      <c r="R242" s="819"/>
      <c r="S242" s="819"/>
      <c r="T242" s="819"/>
      <c r="U242" s="819"/>
    </row>
    <row r="243" spans="2:21" ht="12.75">
      <c r="B243" s="757"/>
      <c r="C243" s="757"/>
      <c r="D243" s="757"/>
      <c r="E243" s="757"/>
      <c r="F243" s="757"/>
      <c r="G243" s="757"/>
      <c r="H243" s="757"/>
      <c r="I243" s="757"/>
      <c r="J243" s="757"/>
      <c r="K243" s="757"/>
      <c r="L243" s="757"/>
      <c r="M243" s="757"/>
      <c r="N243" s="757"/>
      <c r="O243" s="757"/>
      <c r="P243" s="757"/>
      <c r="Q243" s="757"/>
      <c r="R243" s="757"/>
      <c r="S243" s="757"/>
      <c r="T243" s="757"/>
      <c r="U243" s="757"/>
    </row>
    <row r="244" spans="2:21" ht="12.75">
      <c r="B244" s="757"/>
      <c r="C244" s="757"/>
      <c r="D244" s="757"/>
      <c r="E244" s="757"/>
      <c r="F244" s="757"/>
      <c r="G244" s="757"/>
      <c r="H244" s="757"/>
      <c r="I244" s="757"/>
      <c r="J244" s="757"/>
      <c r="K244" s="757"/>
      <c r="L244" s="757"/>
      <c r="M244" s="757"/>
      <c r="N244" s="757"/>
      <c r="O244" s="757"/>
      <c r="P244" s="757"/>
      <c r="Q244" s="757"/>
      <c r="R244" s="757"/>
      <c r="S244" s="757"/>
      <c r="T244" s="757"/>
      <c r="U244" s="757"/>
    </row>
    <row r="245" spans="2:21" ht="13.5" thickBot="1">
      <c r="B245" s="757"/>
      <c r="C245" s="757"/>
      <c r="D245" s="757"/>
      <c r="E245" s="757"/>
      <c r="F245" s="757"/>
      <c r="G245" s="757"/>
      <c r="H245" s="757"/>
      <c r="I245" s="757"/>
      <c r="J245" s="757"/>
      <c r="K245" s="757"/>
      <c r="L245" s="757"/>
      <c r="M245" s="757"/>
      <c r="N245" s="757"/>
      <c r="O245" s="757"/>
      <c r="P245" s="757"/>
      <c r="Q245" s="757"/>
      <c r="R245" s="757"/>
      <c r="S245" s="757"/>
      <c r="T245" s="757"/>
      <c r="U245" s="757"/>
    </row>
    <row r="246" spans="2:21" ht="12.75">
      <c r="B246" s="757"/>
      <c r="C246" s="757"/>
      <c r="D246" s="757"/>
      <c r="E246" s="843"/>
      <c r="F246" s="844"/>
      <c r="G246" s="844"/>
      <c r="H246" s="844"/>
      <c r="I246" s="844"/>
      <c r="J246" s="844"/>
      <c r="K246" s="844"/>
      <c r="L246" s="844"/>
      <c r="M246" s="844"/>
      <c r="N246" s="844"/>
      <c r="O246" s="844"/>
      <c r="P246" s="844"/>
      <c r="Q246" s="844"/>
      <c r="R246" s="845"/>
      <c r="S246" s="757"/>
      <c r="T246" s="757"/>
      <c r="U246" s="757"/>
    </row>
    <row r="247" spans="2:21" ht="12.75">
      <c r="B247" s="757"/>
      <c r="C247" s="757"/>
      <c r="D247" s="757"/>
      <c r="E247" s="846"/>
      <c r="F247" s="847"/>
      <c r="G247" s="847"/>
      <c r="H247" s="847"/>
      <c r="I247" s="847"/>
      <c r="J247" s="847"/>
      <c r="K247" s="847"/>
      <c r="L247" s="847"/>
      <c r="M247" s="847"/>
      <c r="N247" s="847"/>
      <c r="O247" s="847"/>
      <c r="P247" s="847"/>
      <c r="Q247" s="847"/>
      <c r="R247" s="848"/>
      <c r="S247" s="757"/>
      <c r="T247" s="757"/>
      <c r="U247" s="757"/>
    </row>
    <row r="248" spans="2:21" ht="12.75">
      <c r="B248" s="757"/>
      <c r="C248" s="757"/>
      <c r="D248" s="757"/>
      <c r="E248" s="846"/>
      <c r="F248" s="847"/>
      <c r="G248" s="847"/>
      <c r="H248" s="847"/>
      <c r="I248" s="847"/>
      <c r="J248" s="847"/>
      <c r="K248" s="847"/>
      <c r="L248" s="847"/>
      <c r="M248" s="847"/>
      <c r="N248" s="847"/>
      <c r="O248" s="847"/>
      <c r="P248" s="847"/>
      <c r="Q248" s="847"/>
      <c r="R248" s="848"/>
      <c r="S248" s="757"/>
      <c r="T248" s="757"/>
      <c r="U248" s="757"/>
    </row>
    <row r="249" spans="2:21" ht="12.75">
      <c r="B249" s="757"/>
      <c r="C249" s="757"/>
      <c r="D249" s="757"/>
      <c r="E249" s="846"/>
      <c r="F249" s="1917" t="s">
        <v>374</v>
      </c>
      <c r="G249" s="1917"/>
      <c r="H249" s="1917"/>
      <c r="I249" s="1917"/>
      <c r="J249" s="1917"/>
      <c r="K249" s="1917"/>
      <c r="L249" s="1917"/>
      <c r="M249" s="1917"/>
      <c r="N249" s="1917"/>
      <c r="O249" s="1917"/>
      <c r="P249" s="1917"/>
      <c r="Q249" s="1917"/>
      <c r="R249" s="848"/>
      <c r="S249" s="757"/>
      <c r="T249" s="757"/>
      <c r="U249" s="757"/>
    </row>
    <row r="250" spans="2:21" ht="12.75">
      <c r="B250" s="757"/>
      <c r="C250" s="757"/>
      <c r="D250" s="757"/>
      <c r="E250" s="846"/>
      <c r="F250" s="847"/>
      <c r="G250" s="850"/>
      <c r="H250" s="850"/>
      <c r="I250" s="850"/>
      <c r="J250" s="851"/>
      <c r="K250" s="851"/>
      <c r="L250" s="851"/>
      <c r="M250" s="851"/>
      <c r="N250" s="852"/>
      <c r="O250" s="851"/>
      <c r="P250" s="851"/>
      <c r="Q250" s="847"/>
      <c r="R250" s="853"/>
      <c r="S250" s="819"/>
      <c r="T250" s="757"/>
      <c r="U250" s="757"/>
    </row>
    <row r="251" spans="2:21" ht="12.75">
      <c r="B251" s="757"/>
      <c r="C251" s="757"/>
      <c r="D251" s="757"/>
      <c r="E251" s="846"/>
      <c r="F251" s="847"/>
      <c r="G251" s="854" t="s">
        <v>84</v>
      </c>
      <c r="H251" s="847"/>
      <c r="I251" s="847" t="s">
        <v>85</v>
      </c>
      <c r="J251" s="847"/>
      <c r="K251" s="847"/>
      <c r="L251" s="855" t="s">
        <v>36</v>
      </c>
      <c r="M251" s="847"/>
      <c r="N251" s="856">
        <f>+H23</f>
        <v>308800</v>
      </c>
      <c r="O251" s="847"/>
      <c r="P251" s="847"/>
      <c r="Q251" s="847"/>
      <c r="R251" s="848"/>
      <c r="S251" s="757"/>
      <c r="T251" s="757"/>
      <c r="U251" s="757"/>
    </row>
    <row r="252" spans="2:21" ht="12.75">
      <c r="B252" s="757"/>
      <c r="C252" s="757"/>
      <c r="D252" s="757"/>
      <c r="E252" s="846"/>
      <c r="F252" s="847"/>
      <c r="G252" s="847" t="s">
        <v>86</v>
      </c>
      <c r="H252" s="847"/>
      <c r="I252" s="847" t="s">
        <v>85</v>
      </c>
      <c r="J252" s="847"/>
      <c r="K252" s="847"/>
      <c r="L252" s="855" t="s">
        <v>36</v>
      </c>
      <c r="M252" s="847"/>
      <c r="N252" s="856">
        <f>+I23</f>
        <v>0</v>
      </c>
      <c r="O252" s="847"/>
      <c r="P252" s="847"/>
      <c r="Q252" s="847"/>
      <c r="R252" s="848"/>
      <c r="S252" s="757"/>
      <c r="T252" s="757"/>
      <c r="U252" s="757"/>
    </row>
    <row r="253" spans="2:21" ht="12.75">
      <c r="B253" s="757"/>
      <c r="C253" s="757"/>
      <c r="D253" s="757"/>
      <c r="E253" s="846"/>
      <c r="F253" s="847"/>
      <c r="G253" s="854" t="s">
        <v>65</v>
      </c>
      <c r="H253" s="847"/>
      <c r="I253" s="847" t="s">
        <v>85</v>
      </c>
      <c r="J253" s="847"/>
      <c r="K253" s="847"/>
      <c r="L253" s="855" t="s">
        <v>36</v>
      </c>
      <c r="M253" s="847"/>
      <c r="N253" s="856">
        <f>+J23</f>
        <v>21616</v>
      </c>
      <c r="O253" s="847"/>
      <c r="P253" s="847"/>
      <c r="Q253" s="847"/>
      <c r="R253" s="848"/>
      <c r="S253" s="757"/>
      <c r="T253" s="757"/>
      <c r="U253" s="757"/>
    </row>
    <row r="254" spans="2:21" ht="12.75">
      <c r="B254" s="757"/>
      <c r="C254" s="757"/>
      <c r="D254" s="757"/>
      <c r="E254" s="846"/>
      <c r="F254" s="847"/>
      <c r="G254" s="854" t="s">
        <v>87</v>
      </c>
      <c r="H254" s="847"/>
      <c r="I254" s="847" t="s">
        <v>85</v>
      </c>
      <c r="J254" s="847"/>
      <c r="K254" s="847"/>
      <c r="L254" s="855" t="s">
        <v>36</v>
      </c>
      <c r="M254" s="847"/>
      <c r="N254" s="856">
        <f>+K23</f>
        <v>31200</v>
      </c>
      <c r="O254" s="847"/>
      <c r="P254" s="847"/>
      <c r="Q254" s="847"/>
      <c r="R254" s="848"/>
      <c r="S254" s="757"/>
      <c r="T254" s="757"/>
      <c r="U254" s="757"/>
    </row>
    <row r="255" spans="2:21" ht="12.75">
      <c r="B255" s="757"/>
      <c r="C255" s="757"/>
      <c r="D255" s="757"/>
      <c r="E255" s="846"/>
      <c r="F255" s="847"/>
      <c r="G255" s="854" t="s">
        <v>88</v>
      </c>
      <c r="H255" s="847"/>
      <c r="I255" s="847" t="s">
        <v>85</v>
      </c>
      <c r="J255" s="847"/>
      <c r="K255" s="847"/>
      <c r="L255" s="855" t="s">
        <v>36</v>
      </c>
      <c r="M255" s="847"/>
      <c r="N255" s="856">
        <f>+L23</f>
        <v>6000</v>
      </c>
      <c r="O255" s="847"/>
      <c r="P255" s="847"/>
      <c r="Q255" s="847"/>
      <c r="R255" s="848"/>
      <c r="S255" s="757"/>
      <c r="T255" s="757"/>
      <c r="U255" s="757"/>
    </row>
    <row r="256" spans="2:21" ht="13.5" thickBot="1">
      <c r="B256" s="757"/>
      <c r="C256" s="757"/>
      <c r="D256" s="757"/>
      <c r="E256" s="846"/>
      <c r="F256" s="847"/>
      <c r="G256" s="854" t="s">
        <v>89</v>
      </c>
      <c r="H256" s="847"/>
      <c r="I256" s="847" t="s">
        <v>85</v>
      </c>
      <c r="J256" s="847"/>
      <c r="K256" s="847"/>
      <c r="L256" s="855" t="s">
        <v>36</v>
      </c>
      <c r="M256" s="847"/>
      <c r="N256" s="857" t="e">
        <f>SUM(N24:N28)+N21+N22</f>
        <v>#N/A</v>
      </c>
      <c r="O256" s="847"/>
      <c r="P256" s="847"/>
      <c r="Q256" s="847"/>
      <c r="R256" s="848"/>
      <c r="S256" s="757"/>
      <c r="T256" s="757"/>
      <c r="U256" s="757"/>
    </row>
    <row r="257" spans="2:21" ht="13.5" thickBot="1">
      <c r="B257" s="757"/>
      <c r="C257" s="757"/>
      <c r="D257" s="757"/>
      <c r="E257" s="846"/>
      <c r="F257" s="847"/>
      <c r="G257" s="847"/>
      <c r="H257" s="847"/>
      <c r="I257" s="847"/>
      <c r="J257" s="847"/>
      <c r="K257" s="847"/>
      <c r="L257" s="847"/>
      <c r="M257" s="847"/>
      <c r="N257" s="858" t="e">
        <f>SUM(N251:N256)</f>
        <v>#N/A</v>
      </c>
      <c r="O257" s="859">
        <f>+N194</f>
        <v>31200</v>
      </c>
      <c r="P257" s="847"/>
      <c r="Q257" s="847"/>
      <c r="R257" s="848"/>
      <c r="S257" s="757"/>
      <c r="T257" s="757"/>
      <c r="U257" s="757"/>
    </row>
    <row r="258" spans="2:21" ht="12.75">
      <c r="B258" s="757"/>
      <c r="C258" s="757"/>
      <c r="D258" s="757"/>
      <c r="E258" s="860" t="s">
        <v>90</v>
      </c>
      <c r="F258" s="847" t="s">
        <v>91</v>
      </c>
      <c r="G258" s="847"/>
      <c r="H258" s="847"/>
      <c r="I258" s="819"/>
      <c r="J258" s="847"/>
      <c r="K258" s="847"/>
      <c r="L258" s="855" t="s">
        <v>36</v>
      </c>
      <c r="M258" s="847"/>
      <c r="N258" s="852">
        <f>ROUND(S258*12,0)</f>
        <v>124800</v>
      </c>
      <c r="O258" s="861"/>
      <c r="P258" s="851"/>
      <c r="Q258" s="847"/>
      <c r="R258" s="853"/>
      <c r="S258" s="862">
        <f>ROUND((ROUND((N1095+N263+94000)/12,0))/100,0)*100</f>
        <v>10400</v>
      </c>
      <c r="T258" s="757"/>
      <c r="U258" s="757"/>
    </row>
    <row r="259" spans="2:21" ht="12.75">
      <c r="B259" s="757"/>
      <c r="C259" s="757"/>
      <c r="D259" s="757"/>
      <c r="E259" s="860" t="s">
        <v>92</v>
      </c>
      <c r="F259" s="847" t="s">
        <v>93</v>
      </c>
      <c r="G259" s="847"/>
      <c r="H259" s="847"/>
      <c r="I259" s="819"/>
      <c r="J259" s="847"/>
      <c r="K259" s="847"/>
      <c r="L259" s="855" t="s">
        <v>36</v>
      </c>
      <c r="M259" s="847"/>
      <c r="N259" s="852">
        <f>+N251+N252+N253</f>
        <v>330416</v>
      </c>
      <c r="O259" s="861"/>
      <c r="P259" s="851"/>
      <c r="Q259" s="847"/>
      <c r="R259" s="853"/>
      <c r="S259" s="819"/>
      <c r="T259" s="757"/>
      <c r="U259" s="757"/>
    </row>
    <row r="260" spans="2:21" ht="12.75">
      <c r="B260" s="757"/>
      <c r="C260" s="757"/>
      <c r="D260" s="757"/>
      <c r="E260" s="860" t="s">
        <v>94</v>
      </c>
      <c r="F260" s="847" t="s">
        <v>95</v>
      </c>
      <c r="G260" s="847"/>
      <c r="H260" s="847"/>
      <c r="I260" s="819"/>
      <c r="J260" s="847"/>
      <c r="K260" s="847"/>
      <c r="L260" s="855" t="s">
        <v>36</v>
      </c>
      <c r="M260" s="851"/>
      <c r="N260" s="863">
        <f>ROUND(N259*0.1,0)</f>
        <v>33042</v>
      </c>
      <c r="O260" s="861"/>
      <c r="P260" s="851"/>
      <c r="Q260" s="847"/>
      <c r="R260" s="853"/>
      <c r="S260" s="819"/>
      <c r="T260" s="757"/>
      <c r="U260" s="757"/>
    </row>
    <row r="261" spans="2:21" ht="12.75">
      <c r="B261" s="757"/>
      <c r="C261" s="757"/>
      <c r="D261" s="757"/>
      <c r="E261" s="864" t="s">
        <v>98</v>
      </c>
      <c r="F261" s="847"/>
      <c r="G261" s="819"/>
      <c r="H261" s="847"/>
      <c r="I261" s="847"/>
      <c r="J261" s="847"/>
      <c r="K261" s="865" t="s">
        <v>96</v>
      </c>
      <c r="L261" s="855" t="s">
        <v>36</v>
      </c>
      <c r="M261" s="851"/>
      <c r="N261" s="852">
        <f>+N258-N260</f>
        <v>91758</v>
      </c>
      <c r="O261" s="851"/>
      <c r="P261" s="851"/>
      <c r="Q261" s="847"/>
      <c r="R261" s="853"/>
      <c r="S261" s="819"/>
      <c r="T261" s="757"/>
      <c r="U261" s="757"/>
    </row>
    <row r="262" spans="2:21" ht="12.75">
      <c r="B262" s="757"/>
      <c r="C262" s="757"/>
      <c r="D262" s="757"/>
      <c r="E262" s="864"/>
      <c r="F262" s="847"/>
      <c r="G262" s="819"/>
      <c r="H262" s="847"/>
      <c r="I262" s="847"/>
      <c r="J262" s="847"/>
      <c r="K262" s="847"/>
      <c r="L262" s="855"/>
      <c r="M262" s="851"/>
      <c r="N262" s="866"/>
      <c r="O262" s="851"/>
      <c r="P262" s="847"/>
      <c r="Q262" s="847"/>
      <c r="R262" s="848"/>
      <c r="S262" s="839"/>
      <c r="T262" s="757"/>
      <c r="U262" s="757"/>
    </row>
    <row r="263" spans="2:21" ht="12.75">
      <c r="B263" s="757"/>
      <c r="C263" s="757"/>
      <c r="D263" s="757"/>
      <c r="E263" s="864" t="s">
        <v>99</v>
      </c>
      <c r="F263" s="847"/>
      <c r="G263" s="819"/>
      <c r="H263" s="847"/>
      <c r="I263" s="847"/>
      <c r="J263" s="847"/>
      <c r="K263" s="847"/>
      <c r="L263" s="855" t="s">
        <v>36</v>
      </c>
      <c r="M263" s="847"/>
      <c r="N263" s="863">
        <f>+N254</f>
        <v>31200</v>
      </c>
      <c r="O263" s="847"/>
      <c r="P263" s="847"/>
      <c r="Q263" s="847"/>
      <c r="R263" s="848"/>
      <c r="S263" s="819"/>
      <c r="T263" s="757"/>
      <c r="U263" s="757"/>
    </row>
    <row r="264" spans="2:21" ht="12.75">
      <c r="B264" s="757"/>
      <c r="C264" s="757"/>
      <c r="D264" s="757"/>
      <c r="E264" s="864"/>
      <c r="F264" s="847"/>
      <c r="G264" s="819"/>
      <c r="H264" s="847"/>
      <c r="I264" s="847"/>
      <c r="J264" s="847"/>
      <c r="K264" s="847"/>
      <c r="L264" s="855"/>
      <c r="M264" s="847"/>
      <c r="N264" s="852"/>
      <c r="O264" s="847"/>
      <c r="P264" s="847"/>
      <c r="Q264" s="847"/>
      <c r="R264" s="848"/>
      <c r="S264" s="839"/>
      <c r="T264" s="757"/>
      <c r="U264" s="757"/>
    </row>
    <row r="265" spans="2:21" ht="12.75">
      <c r="B265" s="757"/>
      <c r="C265" s="757"/>
      <c r="D265" s="757"/>
      <c r="E265" s="864" t="s">
        <v>100</v>
      </c>
      <c r="F265" s="847"/>
      <c r="G265" s="819"/>
      <c r="H265" s="847"/>
      <c r="I265" s="847"/>
      <c r="J265" s="847"/>
      <c r="K265" s="847"/>
      <c r="L265" s="855" t="s">
        <v>36</v>
      </c>
      <c r="M265" s="847"/>
      <c r="N265" s="852">
        <f>ROUND(N259*0.5,0)</f>
        <v>165208</v>
      </c>
      <c r="O265" s="847"/>
      <c r="P265" s="847"/>
      <c r="Q265" s="847"/>
      <c r="R265" s="848"/>
      <c r="S265" s="819"/>
      <c r="T265" s="757"/>
      <c r="U265" s="757"/>
    </row>
    <row r="266" spans="2:21" ht="12.75">
      <c r="B266" s="757"/>
      <c r="C266" s="757"/>
      <c r="D266" s="757"/>
      <c r="E266" s="864"/>
      <c r="F266" s="847"/>
      <c r="G266" s="819"/>
      <c r="H266" s="847"/>
      <c r="I266" s="847"/>
      <c r="J266" s="847"/>
      <c r="K266" s="847"/>
      <c r="L266" s="855" t="s">
        <v>36</v>
      </c>
      <c r="M266" s="847"/>
      <c r="N266" s="852"/>
      <c r="O266" s="847"/>
      <c r="P266" s="847"/>
      <c r="Q266" s="847"/>
      <c r="R266" s="848"/>
      <c r="S266" s="757"/>
      <c r="T266" s="757"/>
      <c r="U266" s="757"/>
    </row>
    <row r="267" spans="2:21" ht="12.75">
      <c r="B267" s="757"/>
      <c r="C267" s="757"/>
      <c r="D267" s="757"/>
      <c r="E267" s="867" t="s">
        <v>101</v>
      </c>
      <c r="F267" s="847"/>
      <c r="G267" s="819"/>
      <c r="H267" s="847"/>
      <c r="I267" s="847"/>
      <c r="J267" s="847"/>
      <c r="K267" s="847"/>
      <c r="L267" s="855" t="s">
        <v>36</v>
      </c>
      <c r="M267" s="847"/>
      <c r="N267" s="863">
        <f>MIN(N261,N263,N265)</f>
        <v>31200</v>
      </c>
      <c r="O267" s="847"/>
      <c r="P267" s="847"/>
      <c r="Q267" s="847"/>
      <c r="R267" s="848"/>
      <c r="S267" s="757"/>
      <c r="T267" s="757"/>
      <c r="U267" s="757"/>
    </row>
    <row r="268" spans="2:21" ht="12.75">
      <c r="B268" s="757"/>
      <c r="C268" s="757"/>
      <c r="D268" s="757"/>
      <c r="E268" s="867"/>
      <c r="F268" s="847"/>
      <c r="G268" s="819"/>
      <c r="H268" s="847"/>
      <c r="I268" s="847"/>
      <c r="J268" s="847"/>
      <c r="K268" s="847"/>
      <c r="L268" s="819"/>
      <c r="M268" s="847"/>
      <c r="N268" s="819"/>
      <c r="O268" s="847"/>
      <c r="P268" s="847"/>
      <c r="Q268" s="847"/>
      <c r="R268" s="848"/>
      <c r="S268" s="757"/>
      <c r="T268" s="757"/>
      <c r="U268" s="757"/>
    </row>
    <row r="269" spans="2:21" ht="12.75">
      <c r="B269" s="757"/>
      <c r="C269" s="757"/>
      <c r="D269" s="757"/>
      <c r="E269" s="868" t="s">
        <v>97</v>
      </c>
      <c r="F269" s="847"/>
      <c r="G269" s="819"/>
      <c r="H269" s="851"/>
      <c r="I269" s="851"/>
      <c r="J269" s="851"/>
      <c r="K269" s="851"/>
      <c r="L269" s="855" t="s">
        <v>36</v>
      </c>
      <c r="M269" s="851"/>
      <c r="N269" s="849" t="str">
        <f>B11</f>
        <v>Y</v>
      </c>
      <c r="O269" s="851"/>
      <c r="P269" s="851"/>
      <c r="Q269" s="847"/>
      <c r="R269" s="848"/>
      <c r="S269" s="757"/>
      <c r="T269" s="757"/>
      <c r="U269" s="757"/>
    </row>
    <row r="270" spans="2:21" ht="12.75">
      <c r="B270" s="757"/>
      <c r="C270" s="757"/>
      <c r="D270" s="757"/>
      <c r="E270" s="869" t="s">
        <v>231</v>
      </c>
      <c r="F270" s="847"/>
      <c r="G270" s="819"/>
      <c r="H270" s="851"/>
      <c r="I270" s="851"/>
      <c r="J270" s="851"/>
      <c r="K270" s="851"/>
      <c r="L270" s="851"/>
      <c r="M270" s="851"/>
      <c r="N270" s="851"/>
      <c r="O270" s="851"/>
      <c r="P270" s="851"/>
      <c r="Q270" s="847"/>
      <c r="R270" s="848"/>
      <c r="S270" s="757"/>
      <c r="T270" s="757"/>
      <c r="U270" s="757"/>
    </row>
    <row r="271" spans="2:21" ht="12.75">
      <c r="B271" s="757"/>
      <c r="C271" s="757"/>
      <c r="D271" s="757"/>
      <c r="E271" s="1918" t="s">
        <v>236</v>
      </c>
      <c r="F271" s="1919"/>
      <c r="G271" s="1919"/>
      <c r="H271" s="1919"/>
      <c r="I271" s="1919"/>
      <c r="J271" s="1919"/>
      <c r="K271" s="1919"/>
      <c r="L271" s="1919"/>
      <c r="M271" s="1919"/>
      <c r="N271" s="1919"/>
      <c r="O271" s="1919"/>
      <c r="P271" s="1919"/>
      <c r="Q271" s="1919"/>
      <c r="R271" s="848"/>
      <c r="S271" s="757"/>
      <c r="T271" s="757"/>
      <c r="U271" s="757"/>
    </row>
    <row r="272" spans="2:21" ht="12.75">
      <c r="B272" s="757"/>
      <c r="C272" s="757"/>
      <c r="D272" s="757"/>
      <c r="E272" s="1918"/>
      <c r="F272" s="1919"/>
      <c r="G272" s="1919"/>
      <c r="H272" s="1919"/>
      <c r="I272" s="1919"/>
      <c r="J272" s="1919"/>
      <c r="K272" s="1919"/>
      <c r="L272" s="1919"/>
      <c r="M272" s="1919"/>
      <c r="N272" s="1919"/>
      <c r="O272" s="1919"/>
      <c r="P272" s="1919"/>
      <c r="Q272" s="1919"/>
      <c r="R272" s="848"/>
      <c r="S272" s="757"/>
      <c r="T272" s="757"/>
      <c r="U272" s="757"/>
    </row>
    <row r="273" spans="2:21" ht="13.5" thickBot="1">
      <c r="B273" s="757"/>
      <c r="C273" s="757"/>
      <c r="D273" s="757"/>
      <c r="E273" s="868"/>
      <c r="F273" s="847"/>
      <c r="G273" s="819"/>
      <c r="H273" s="851"/>
      <c r="I273" s="851"/>
      <c r="J273" s="851"/>
      <c r="K273" s="851"/>
      <c r="L273" s="851"/>
      <c r="M273" s="851"/>
      <c r="N273" s="851"/>
      <c r="O273" s="851"/>
      <c r="P273" s="851"/>
      <c r="Q273" s="847"/>
      <c r="R273" s="848"/>
      <c r="S273" s="757"/>
      <c r="T273" s="757"/>
      <c r="U273" s="757"/>
    </row>
    <row r="274" spans="2:21" ht="12.75">
      <c r="B274" s="757"/>
      <c r="C274" s="757"/>
      <c r="D274" s="757"/>
      <c r="E274" s="846"/>
      <c r="F274" s="870">
        <v>1</v>
      </c>
      <c r="G274" s="871" t="str">
        <f>+H198</f>
        <v>INTEREST ON H.B.A.</v>
      </c>
      <c r="H274" s="871"/>
      <c r="I274" s="871"/>
      <c r="J274" s="871"/>
      <c r="K274" s="871"/>
      <c r="L274" s="872"/>
      <c r="M274" s="600" t="s">
        <v>36</v>
      </c>
      <c r="N274" s="873">
        <f>+N198</f>
        <v>0</v>
      </c>
      <c r="O274" s="1920"/>
      <c r="P274" s="1921"/>
      <c r="Q274" s="1922"/>
      <c r="R274" s="848"/>
      <c r="S274" s="757"/>
      <c r="T274" s="757"/>
      <c r="U274" s="757"/>
    </row>
    <row r="275" spans="2:21" ht="12.75">
      <c r="B275" s="757"/>
      <c r="C275" s="757"/>
      <c r="D275" s="757"/>
      <c r="E275" s="846"/>
      <c r="F275" s="874">
        <v>2</v>
      </c>
      <c r="G275" s="847" t="str">
        <f>+H200</f>
        <v>80-D MEDICIAL INSURANCE</v>
      </c>
      <c r="H275" s="847"/>
      <c r="I275" s="847"/>
      <c r="J275" s="847"/>
      <c r="K275" s="847"/>
      <c r="L275" s="851"/>
      <c r="M275" s="875" t="s">
        <v>36</v>
      </c>
      <c r="N275" s="876">
        <f>+N200</f>
        <v>0</v>
      </c>
      <c r="O275" s="1923"/>
      <c r="P275" s="1872"/>
      <c r="Q275" s="1924"/>
      <c r="R275" s="848"/>
      <c r="S275" s="757"/>
      <c r="T275" s="757"/>
      <c r="U275" s="757"/>
    </row>
    <row r="276" spans="2:21" ht="13.5" thickBot="1">
      <c r="B276" s="757"/>
      <c r="C276" s="757"/>
      <c r="D276" s="757"/>
      <c r="E276" s="846"/>
      <c r="F276" s="877">
        <v>3</v>
      </c>
      <c r="G276" s="878" t="str">
        <f>+H203</f>
        <v>TECH.EDUCATION INTEREST</v>
      </c>
      <c r="H276" s="878"/>
      <c r="I276" s="878"/>
      <c r="J276" s="878"/>
      <c r="K276" s="878"/>
      <c r="L276" s="879"/>
      <c r="M276" s="603" t="s">
        <v>36</v>
      </c>
      <c r="N276" s="880">
        <f>+N203</f>
        <v>0</v>
      </c>
      <c r="O276" s="1910">
        <f>+N274+N275+N276</f>
        <v>0</v>
      </c>
      <c r="P276" s="1911"/>
      <c r="Q276" s="1912"/>
      <c r="R276" s="848"/>
      <c r="S276" s="757"/>
      <c r="T276" s="757"/>
      <c r="U276" s="757"/>
    </row>
    <row r="277" spans="2:21" ht="12.75">
      <c r="B277" s="757"/>
      <c r="C277" s="757"/>
      <c r="D277" s="757"/>
      <c r="E277" s="846"/>
      <c r="F277" s="881">
        <v>1</v>
      </c>
      <c r="G277" s="871" t="str">
        <f aca="true" t="shared" si="30" ref="G277:G282">+Q196</f>
        <v>PPF Subscription</v>
      </c>
      <c r="H277" s="871"/>
      <c r="I277" s="871"/>
      <c r="J277" s="871"/>
      <c r="K277" s="871"/>
      <c r="L277" s="872"/>
      <c r="M277" s="600" t="s">
        <v>36</v>
      </c>
      <c r="N277" s="873">
        <f aca="true" t="shared" si="31" ref="N277:N282">+U196</f>
        <v>0</v>
      </c>
      <c r="O277" s="871"/>
      <c r="P277" s="871"/>
      <c r="Q277" s="882"/>
      <c r="R277" s="848"/>
      <c r="S277" s="757"/>
      <c r="T277" s="757"/>
      <c r="U277" s="757"/>
    </row>
    <row r="278" spans="2:21" ht="12.75">
      <c r="B278" s="757"/>
      <c r="C278" s="757"/>
      <c r="D278" s="757"/>
      <c r="E278" s="846"/>
      <c r="F278" s="883">
        <v>2</v>
      </c>
      <c r="G278" s="884" t="str">
        <f t="shared" si="30"/>
        <v>PLI Subscription</v>
      </c>
      <c r="H278" s="884"/>
      <c r="I278" s="884"/>
      <c r="J278" s="884"/>
      <c r="K278" s="884"/>
      <c r="L278" s="885"/>
      <c r="M278" s="780" t="s">
        <v>36</v>
      </c>
      <c r="N278" s="886">
        <f t="shared" si="31"/>
        <v>0</v>
      </c>
      <c r="O278" s="884"/>
      <c r="P278" s="884"/>
      <c r="Q278" s="887"/>
      <c r="R278" s="848"/>
      <c r="S278" s="757"/>
      <c r="T278" s="757"/>
      <c r="U278" s="757"/>
    </row>
    <row r="279" spans="2:21" ht="12.75">
      <c r="B279" s="757"/>
      <c r="C279" s="757"/>
      <c r="D279" s="757"/>
      <c r="E279" s="846"/>
      <c r="F279" s="883">
        <v>3</v>
      </c>
      <c r="G279" s="884" t="str">
        <f t="shared" si="30"/>
        <v>LIC Subscription</v>
      </c>
      <c r="H279" s="884"/>
      <c r="I279" s="884"/>
      <c r="J279" s="884"/>
      <c r="K279" s="884"/>
      <c r="L279" s="885"/>
      <c r="M279" s="780" t="s">
        <v>36</v>
      </c>
      <c r="N279" s="886">
        <f t="shared" si="31"/>
        <v>0</v>
      </c>
      <c r="O279" s="884"/>
      <c r="P279" s="884"/>
      <c r="Q279" s="887"/>
      <c r="R279" s="848"/>
      <c r="S279" s="757"/>
      <c r="T279" s="757"/>
      <c r="U279" s="757"/>
    </row>
    <row r="280" spans="2:21" ht="12.75">
      <c r="B280" s="757"/>
      <c r="C280" s="757"/>
      <c r="D280" s="757"/>
      <c r="E280" s="846"/>
      <c r="F280" s="883">
        <v>4</v>
      </c>
      <c r="G280" s="884" t="str">
        <f t="shared" si="30"/>
        <v>Tution Fees</v>
      </c>
      <c r="H280" s="884"/>
      <c r="I280" s="884"/>
      <c r="J280" s="884"/>
      <c r="K280" s="884"/>
      <c r="L280" s="885"/>
      <c r="M280" s="780" t="s">
        <v>36</v>
      </c>
      <c r="N280" s="886">
        <f t="shared" si="31"/>
        <v>0</v>
      </c>
      <c r="O280" s="884"/>
      <c r="P280" s="884"/>
      <c r="Q280" s="887"/>
      <c r="R280" s="848"/>
      <c r="S280" s="757"/>
      <c r="T280" s="757"/>
      <c r="U280" s="757"/>
    </row>
    <row r="281" spans="2:21" ht="12.75">
      <c r="B281" s="757"/>
      <c r="C281" s="757"/>
      <c r="D281" s="757"/>
      <c r="E281" s="846"/>
      <c r="F281" s="883">
        <v>5</v>
      </c>
      <c r="G281" s="884" t="str">
        <f t="shared" si="30"/>
        <v>ICICI Prudential</v>
      </c>
      <c r="H281" s="884"/>
      <c r="I281" s="884"/>
      <c r="J281" s="884"/>
      <c r="K281" s="884"/>
      <c r="L281" s="885"/>
      <c r="M281" s="780" t="s">
        <v>36</v>
      </c>
      <c r="N281" s="886">
        <f t="shared" si="31"/>
        <v>0</v>
      </c>
      <c r="O281" s="884"/>
      <c r="P281" s="884"/>
      <c r="Q281" s="887"/>
      <c r="R281" s="848"/>
      <c r="S281" s="757"/>
      <c r="T281" s="757"/>
      <c r="U281" s="757"/>
    </row>
    <row r="282" spans="2:21" ht="13.5" thickBot="1">
      <c r="B282" s="757"/>
      <c r="C282" s="757"/>
      <c r="D282" s="757"/>
      <c r="E282" s="846"/>
      <c r="F282" s="888">
        <v>6</v>
      </c>
      <c r="G282" s="878" t="str">
        <f t="shared" si="30"/>
        <v>Refund of loan for H.B.A.</v>
      </c>
      <c r="H282" s="878"/>
      <c r="I282" s="878"/>
      <c r="J282" s="878"/>
      <c r="K282" s="878"/>
      <c r="L282" s="879"/>
      <c r="M282" s="603" t="s">
        <v>36</v>
      </c>
      <c r="N282" s="880">
        <f t="shared" si="31"/>
        <v>0</v>
      </c>
      <c r="O282" s="878"/>
      <c r="P282" s="878"/>
      <c r="Q282" s="889"/>
      <c r="R282" s="848"/>
      <c r="S282" s="757"/>
      <c r="T282" s="757"/>
      <c r="U282" s="757"/>
    </row>
    <row r="283" spans="2:21" ht="13.5" thickBot="1">
      <c r="B283" s="757"/>
      <c r="C283" s="757"/>
      <c r="D283" s="757"/>
      <c r="E283" s="846"/>
      <c r="F283" s="890">
        <v>7</v>
      </c>
      <c r="G283" s="891" t="str">
        <f>+AT17</f>
        <v>INFRASTRUCTURE BOND</v>
      </c>
      <c r="H283" s="892"/>
      <c r="I283" s="892"/>
      <c r="J283" s="891"/>
      <c r="K283" s="891"/>
      <c r="L283" s="893"/>
      <c r="M283" s="894" t="s">
        <v>36</v>
      </c>
      <c r="N283" s="895">
        <f>+U205</f>
        <v>0</v>
      </c>
      <c r="O283" s="1913">
        <f>+N277+N278+N279+N280+N281+N282</f>
        <v>0</v>
      </c>
      <c r="P283" s="1914"/>
      <c r="Q283" s="1915"/>
      <c r="R283" s="848"/>
      <c r="S283" s="757"/>
      <c r="T283" s="757"/>
      <c r="U283" s="757"/>
    </row>
    <row r="284" spans="2:21" ht="12.75">
      <c r="B284" s="757"/>
      <c r="C284" s="757"/>
      <c r="D284" s="757"/>
      <c r="E284" s="846"/>
      <c r="F284" s="865"/>
      <c r="G284" s="847"/>
      <c r="H284" s="847"/>
      <c r="I284" s="847"/>
      <c r="J284" s="847"/>
      <c r="K284" s="847"/>
      <c r="L284" s="851"/>
      <c r="M284" s="849"/>
      <c r="N284" s="856"/>
      <c r="O284" s="847"/>
      <c r="P284" s="847"/>
      <c r="Q284" s="847"/>
      <c r="R284" s="848"/>
      <c r="S284" s="757"/>
      <c r="T284" s="757"/>
      <c r="U284" s="757"/>
    </row>
    <row r="285" spans="2:21" ht="12.75">
      <c r="B285" s="757"/>
      <c r="C285" s="757"/>
      <c r="D285" s="757"/>
      <c r="E285" s="846"/>
      <c r="F285" s="865"/>
      <c r="G285" s="847"/>
      <c r="H285" s="847"/>
      <c r="I285" s="847"/>
      <c r="J285" s="847"/>
      <c r="K285" s="847"/>
      <c r="L285" s="851"/>
      <c r="M285" s="849"/>
      <c r="N285" s="856"/>
      <c r="O285" s="847"/>
      <c r="P285" s="847"/>
      <c r="Q285" s="847"/>
      <c r="R285" s="848"/>
      <c r="S285" s="757"/>
      <c r="T285" s="757"/>
      <c r="U285" s="757"/>
    </row>
    <row r="286" spans="2:21" ht="13.5" thickBot="1">
      <c r="B286" s="757"/>
      <c r="C286" s="757"/>
      <c r="D286" s="757"/>
      <c r="E286" s="896"/>
      <c r="F286" s="811"/>
      <c r="G286" s="811"/>
      <c r="H286" s="811"/>
      <c r="I286" s="811"/>
      <c r="J286" s="811"/>
      <c r="K286" s="811"/>
      <c r="L286" s="811"/>
      <c r="M286" s="812" t="s">
        <v>50</v>
      </c>
      <c r="N286" s="811"/>
      <c r="O286" s="811"/>
      <c r="P286" s="811"/>
      <c r="Q286" s="811"/>
      <c r="R286" s="813"/>
      <c r="S286" s="757"/>
      <c r="T286" s="757"/>
      <c r="U286" s="757"/>
    </row>
    <row r="287" spans="2:21" ht="12.75">
      <c r="B287" s="757"/>
      <c r="C287" s="757"/>
      <c r="D287" s="757"/>
      <c r="E287" s="757"/>
      <c r="F287" s="757"/>
      <c r="G287" s="757"/>
      <c r="H287" s="757"/>
      <c r="I287" s="757"/>
      <c r="J287" s="757"/>
      <c r="K287" s="757"/>
      <c r="L287" s="757"/>
      <c r="M287" s="757"/>
      <c r="N287" s="757"/>
      <c r="O287" s="757"/>
      <c r="P287" s="757"/>
      <c r="Q287" s="757"/>
      <c r="R287" s="757"/>
      <c r="S287" s="757"/>
      <c r="T287" s="757"/>
      <c r="U287" s="757"/>
    </row>
    <row r="290" ht="18">
      <c r="B290" s="498">
        <v>1</v>
      </c>
    </row>
    <row r="291" ht="18">
      <c r="B291" s="498">
        <v>4</v>
      </c>
    </row>
    <row r="292" ht="18">
      <c r="B292" s="498">
        <v>7</v>
      </c>
    </row>
    <row r="293" ht="18">
      <c r="B293" s="498">
        <v>10</v>
      </c>
    </row>
    <row r="295" ht="18">
      <c r="B295" s="498" t="s">
        <v>6</v>
      </c>
    </row>
    <row r="296" ht="18">
      <c r="B296" s="498" t="s">
        <v>8</v>
      </c>
    </row>
    <row r="298" ht="18">
      <c r="B298" s="498" t="s">
        <v>70</v>
      </c>
    </row>
    <row r="299" ht="18">
      <c r="B299" s="498" t="s">
        <v>72</v>
      </c>
    </row>
    <row r="302" ht="15.75">
      <c r="B302" s="499">
        <v>0</v>
      </c>
    </row>
    <row r="303" ht="15.75">
      <c r="B303" s="499">
        <v>3</v>
      </c>
    </row>
    <row r="304" ht="15.75">
      <c r="B304" s="499">
        <f>+B303+1</f>
        <v>4</v>
      </c>
    </row>
    <row r="305" ht="15.75">
      <c r="B305" s="499">
        <f aca="true" t="shared" si="32" ref="B305:B316">+B304+1</f>
        <v>5</v>
      </c>
    </row>
    <row r="306" ht="15.75">
      <c r="B306" s="499">
        <f t="shared" si="32"/>
        <v>6</v>
      </c>
    </row>
    <row r="307" ht="15.75">
      <c r="B307" s="499">
        <f t="shared" si="32"/>
        <v>7</v>
      </c>
    </row>
    <row r="308" ht="15.75">
      <c r="B308" s="499">
        <f t="shared" si="32"/>
        <v>8</v>
      </c>
    </row>
    <row r="309" ht="15.75">
      <c r="B309" s="499">
        <f t="shared" si="32"/>
        <v>9</v>
      </c>
    </row>
    <row r="310" ht="15.75">
      <c r="B310" s="499">
        <f t="shared" si="32"/>
        <v>10</v>
      </c>
    </row>
    <row r="311" ht="15.75">
      <c r="B311" s="499">
        <f t="shared" si="32"/>
        <v>11</v>
      </c>
    </row>
    <row r="312" ht="15.75">
      <c r="B312" s="499">
        <f t="shared" si="32"/>
        <v>12</v>
      </c>
    </row>
    <row r="314" ht="15.75">
      <c r="B314" s="499">
        <v>0</v>
      </c>
    </row>
    <row r="315" ht="15.75">
      <c r="B315" s="499">
        <f t="shared" si="32"/>
        <v>1</v>
      </c>
    </row>
    <row r="316" ht="15.75">
      <c r="B316" s="499">
        <f t="shared" si="32"/>
        <v>2</v>
      </c>
    </row>
    <row r="317" ht="15.75">
      <c r="B317" s="499"/>
    </row>
    <row r="318" ht="15.75">
      <c r="B318" s="499" t="s">
        <v>234</v>
      </c>
    </row>
    <row r="319" ht="15.75">
      <c r="B319" s="499" t="s">
        <v>235</v>
      </c>
    </row>
    <row r="320" ht="13.5" thickBot="1"/>
    <row r="321" spans="1:2" ht="13.5" thickBot="1">
      <c r="A321" s="501" t="s">
        <v>71</v>
      </c>
      <c r="B321" s="502">
        <v>0</v>
      </c>
    </row>
    <row r="322" spans="1:2" ht="12.75">
      <c r="A322" s="503">
        <v>1</v>
      </c>
      <c r="B322" s="504">
        <v>1900</v>
      </c>
    </row>
    <row r="323" spans="1:2" ht="12.75">
      <c r="A323" s="505">
        <f>+A322+1</f>
        <v>2</v>
      </c>
      <c r="B323" s="506">
        <v>2200</v>
      </c>
    </row>
    <row r="324" spans="1:2" ht="12.75">
      <c r="A324" s="505">
        <f aca="true" t="shared" si="33" ref="A324:A332">+A323+1</f>
        <v>3</v>
      </c>
      <c r="B324" s="506">
        <v>2500</v>
      </c>
    </row>
    <row r="325" spans="1:2" ht="12.75">
      <c r="A325" s="505">
        <f t="shared" si="33"/>
        <v>4</v>
      </c>
      <c r="B325" s="506">
        <v>2800</v>
      </c>
    </row>
    <row r="326" spans="1:2" ht="12.75">
      <c r="A326" s="505">
        <f t="shared" si="33"/>
        <v>5</v>
      </c>
      <c r="B326" s="506">
        <v>4300</v>
      </c>
    </row>
    <row r="327" spans="1:2" ht="12.75">
      <c r="A327" s="505">
        <f t="shared" si="33"/>
        <v>6</v>
      </c>
      <c r="B327" s="506">
        <v>5100</v>
      </c>
    </row>
    <row r="328" spans="1:2" ht="12.75">
      <c r="A328" s="505">
        <f t="shared" si="33"/>
        <v>7</v>
      </c>
      <c r="B328" s="506">
        <v>5400</v>
      </c>
    </row>
    <row r="329" spans="1:2" ht="12.75">
      <c r="A329" s="505">
        <f t="shared" si="33"/>
        <v>8</v>
      </c>
      <c r="B329" s="506">
        <v>6100</v>
      </c>
    </row>
    <row r="330" spans="1:2" ht="12.75">
      <c r="A330" s="505">
        <f t="shared" si="33"/>
        <v>9</v>
      </c>
      <c r="B330" s="506">
        <v>6200</v>
      </c>
    </row>
    <row r="331" spans="1:2" ht="12.75">
      <c r="A331" s="505">
        <f t="shared" si="33"/>
        <v>10</v>
      </c>
      <c r="B331" s="506">
        <v>7000</v>
      </c>
    </row>
    <row r="332" spans="1:2" ht="12.75">
      <c r="A332" s="505">
        <f t="shared" si="33"/>
        <v>11</v>
      </c>
      <c r="B332" s="506">
        <v>8700</v>
      </c>
    </row>
    <row r="333" spans="1:2" ht="12.75">
      <c r="A333" s="505">
        <v>12</v>
      </c>
      <c r="B333" s="506">
        <v>4300</v>
      </c>
    </row>
    <row r="334" spans="1:2" ht="12.75">
      <c r="A334" s="505">
        <v>13</v>
      </c>
      <c r="B334" s="506">
        <v>2900</v>
      </c>
    </row>
    <row r="335" spans="1:2" ht="12.75">
      <c r="A335" s="505">
        <v>14</v>
      </c>
      <c r="B335" s="506">
        <v>9500</v>
      </c>
    </row>
    <row r="336" spans="1:2" ht="13.5" thickBot="1">
      <c r="A336" s="507">
        <v>15</v>
      </c>
      <c r="B336" s="508">
        <v>1400</v>
      </c>
    </row>
    <row r="337" spans="1:2" ht="13.5" thickBot="1">
      <c r="A337" s="509">
        <v>16</v>
      </c>
      <c r="B337" s="510">
        <v>300</v>
      </c>
    </row>
  </sheetData>
  <sheetProtection/>
  <mergeCells count="183">
    <mergeCell ref="D221:E221"/>
    <mergeCell ref="G221:U221"/>
    <mergeCell ref="AA72:AB72"/>
    <mergeCell ref="Q79:R79"/>
    <mergeCell ref="D218:E218"/>
    <mergeCell ref="H218:M218"/>
    <mergeCell ref="Q218:T218"/>
    <mergeCell ref="D219:E219"/>
    <mergeCell ref="G219:U219"/>
    <mergeCell ref="D220:E220"/>
    <mergeCell ref="O276:Q276"/>
    <mergeCell ref="O283:Q283"/>
    <mergeCell ref="D222:E222"/>
    <mergeCell ref="B225:E225"/>
    <mergeCell ref="F249:Q249"/>
    <mergeCell ref="E271:Q272"/>
    <mergeCell ref="O274:Q274"/>
    <mergeCell ref="O275:Q275"/>
    <mergeCell ref="G220:U220"/>
    <mergeCell ref="D216:E216"/>
    <mergeCell ref="H216:M216"/>
    <mergeCell ref="Q216:S216"/>
    <mergeCell ref="D217:E217"/>
    <mergeCell ref="H217:M217"/>
    <mergeCell ref="Q217:T217"/>
    <mergeCell ref="H213:M213"/>
    <mergeCell ref="Q213:R213"/>
    <mergeCell ref="H214:M214"/>
    <mergeCell ref="Q214:S214"/>
    <mergeCell ref="B215:E215"/>
    <mergeCell ref="H215:M215"/>
    <mergeCell ref="Q215:T215"/>
    <mergeCell ref="H210:M210"/>
    <mergeCell ref="Q210:S210"/>
    <mergeCell ref="H211:M211"/>
    <mergeCell ref="Q211:S211"/>
    <mergeCell ref="H212:M212"/>
    <mergeCell ref="Q212:S212"/>
    <mergeCell ref="H207:L207"/>
    <mergeCell ref="Q207:T207"/>
    <mergeCell ref="H208:M208"/>
    <mergeCell ref="Q208:T208"/>
    <mergeCell ref="H209:M209"/>
    <mergeCell ref="Q209:T209"/>
    <mergeCell ref="H204:M204"/>
    <mergeCell ref="Q204:S204"/>
    <mergeCell ref="H205:M205"/>
    <mergeCell ref="Q205:S205"/>
    <mergeCell ref="H206:M206"/>
    <mergeCell ref="Q206:T206"/>
    <mergeCell ref="H201:I201"/>
    <mergeCell ref="Q201:S201"/>
    <mergeCell ref="H202:M202"/>
    <mergeCell ref="Q202:S202"/>
    <mergeCell ref="H203:L203"/>
    <mergeCell ref="Q203:T203"/>
    <mergeCell ref="H197:M197"/>
    <mergeCell ref="Q197:S197"/>
    <mergeCell ref="H198:L198"/>
    <mergeCell ref="H199:I199"/>
    <mergeCell ref="Q199:S199"/>
    <mergeCell ref="H200:L200"/>
    <mergeCell ref="Q200:S200"/>
    <mergeCell ref="H194:L194"/>
    <mergeCell ref="Q194:S194"/>
    <mergeCell ref="H195:M195"/>
    <mergeCell ref="Q195:S195"/>
    <mergeCell ref="H196:L196"/>
    <mergeCell ref="Q196:S196"/>
    <mergeCell ref="N96:P96"/>
    <mergeCell ref="Q96:T96"/>
    <mergeCell ref="H192:M192"/>
    <mergeCell ref="Q192:T192"/>
    <mergeCell ref="H193:M193"/>
    <mergeCell ref="Q193:S193"/>
    <mergeCell ref="G89:R89"/>
    <mergeCell ref="G90:R90"/>
    <mergeCell ref="G91:R91"/>
    <mergeCell ref="G92:R92"/>
    <mergeCell ref="N95:P95"/>
    <mergeCell ref="Q95:S95"/>
    <mergeCell ref="Q83:R83"/>
    <mergeCell ref="G84:R84"/>
    <mergeCell ref="G85:R85"/>
    <mergeCell ref="G86:R86"/>
    <mergeCell ref="G87:R87"/>
    <mergeCell ref="G88:R88"/>
    <mergeCell ref="G81:N81"/>
    <mergeCell ref="O81:P81"/>
    <mergeCell ref="G82:N82"/>
    <mergeCell ref="O82:P82"/>
    <mergeCell ref="G83:N83"/>
    <mergeCell ref="O83:P83"/>
    <mergeCell ref="G77:R77"/>
    <mergeCell ref="G78:R78"/>
    <mergeCell ref="G79:N79"/>
    <mergeCell ref="O79:P79"/>
    <mergeCell ref="G80:N80"/>
    <mergeCell ref="O80:P80"/>
    <mergeCell ref="G71:R71"/>
    <mergeCell ref="G72:R72"/>
    <mergeCell ref="G73:R73"/>
    <mergeCell ref="G74:R74"/>
    <mergeCell ref="G75:R75"/>
    <mergeCell ref="G76:R76"/>
    <mergeCell ref="G65:R65"/>
    <mergeCell ref="G66:R66"/>
    <mergeCell ref="G67:U67"/>
    <mergeCell ref="G68:R68"/>
    <mergeCell ref="G69:R69"/>
    <mergeCell ref="G70:R70"/>
    <mergeCell ref="G59:R59"/>
    <mergeCell ref="G60:R60"/>
    <mergeCell ref="G61:R61"/>
    <mergeCell ref="G62:R62"/>
    <mergeCell ref="G63:R63"/>
    <mergeCell ref="G64:R64"/>
    <mergeCell ref="G53:U53"/>
    <mergeCell ref="G54:R54"/>
    <mergeCell ref="G55:R55"/>
    <mergeCell ref="G56:R56"/>
    <mergeCell ref="G57:R57"/>
    <mergeCell ref="G58:R58"/>
    <mergeCell ref="K50:L50"/>
    <mergeCell ref="N50:R50"/>
    <mergeCell ref="K51:L51"/>
    <mergeCell ref="N51:R51"/>
    <mergeCell ref="K52:L52"/>
    <mergeCell ref="N52:R52"/>
    <mergeCell ref="Q46:R46"/>
    <mergeCell ref="K47:L47"/>
    <mergeCell ref="N47:R47"/>
    <mergeCell ref="K48:L48"/>
    <mergeCell ref="N48:R48"/>
    <mergeCell ref="K49:L49"/>
    <mergeCell ref="N49:R49"/>
    <mergeCell ref="G43:H43"/>
    <mergeCell ref="I43:L43"/>
    <mergeCell ref="I44:L44"/>
    <mergeCell ref="M45:O45"/>
    <mergeCell ref="K46:L46"/>
    <mergeCell ref="N46:P46"/>
    <mergeCell ref="J38:K38"/>
    <mergeCell ref="G39:I39"/>
    <mergeCell ref="J39:K39"/>
    <mergeCell ref="Q39:T39"/>
    <mergeCell ref="Q40:T40"/>
    <mergeCell ref="G42:U42"/>
    <mergeCell ref="AA12:AB12"/>
    <mergeCell ref="AT22:AV22"/>
    <mergeCell ref="O24:U24"/>
    <mergeCell ref="G32:R32"/>
    <mergeCell ref="L6:L7"/>
    <mergeCell ref="M6:M7"/>
    <mergeCell ref="N6:N7"/>
    <mergeCell ref="Q6:Q7"/>
    <mergeCell ref="AH1:AL1"/>
    <mergeCell ref="G2:U2"/>
    <mergeCell ref="P3:U3"/>
    <mergeCell ref="P4:U4"/>
    <mergeCell ref="R6:R7"/>
    <mergeCell ref="A10:A11"/>
    <mergeCell ref="F6:F7"/>
    <mergeCell ref="W207:X207"/>
    <mergeCell ref="W208:X208"/>
    <mergeCell ref="G6:G7"/>
    <mergeCell ref="H6:H7"/>
    <mergeCell ref="I6:I7"/>
    <mergeCell ref="J6:J7"/>
    <mergeCell ref="K6:K7"/>
    <mergeCell ref="G37:I37"/>
    <mergeCell ref="J37:K37"/>
    <mergeCell ref="G38:I38"/>
    <mergeCell ref="W209:X209"/>
    <mergeCell ref="G1:U1"/>
    <mergeCell ref="X1:X2"/>
    <mergeCell ref="G33:U33"/>
    <mergeCell ref="G34:U34"/>
    <mergeCell ref="G36:R36"/>
    <mergeCell ref="S6:S7"/>
    <mergeCell ref="T6:T7"/>
    <mergeCell ref="W205:X205"/>
    <mergeCell ref="W206:X206"/>
  </mergeCells>
  <dataValidations count="1">
    <dataValidation type="list" allowBlank="1" showInputMessage="1" showErrorMessage="1" sqref="X3">
      <formula1>$AF$51:$AF$62</formula1>
    </dataValidation>
  </dataValidations>
  <printOptions/>
  <pageMargins left="0.3937007874015748" right="0.1968503937007874" top="0.11811023622047245" bottom="0.11811023622047245" header="0.31496062992125984" footer="0.31496062992125984"/>
  <pageSetup horizontalDpi="600" verticalDpi="600" orientation="portrait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CT178"/>
  <sheetViews>
    <sheetView zoomScalePageLayoutView="0" workbookViewId="0" topLeftCell="A19">
      <selection activeCell="O26" sqref="O26"/>
    </sheetView>
  </sheetViews>
  <sheetFormatPr defaultColWidth="9.140625" defaultRowHeight="12.75"/>
  <cols>
    <col min="1" max="1" width="5.28125" style="0" customWidth="1"/>
    <col min="2" max="2" width="25.00390625" style="0" hidden="1" customWidth="1"/>
    <col min="3" max="3" width="27.140625" style="0" hidden="1" customWidth="1"/>
    <col min="4" max="4" width="11.57421875" style="0" hidden="1" customWidth="1"/>
    <col min="5" max="5" width="9.140625" style="0" hidden="1" customWidth="1"/>
    <col min="6" max="6" width="0.5625" style="1" customWidth="1"/>
    <col min="7" max="7" width="5.57421875" style="0" hidden="1" customWidth="1"/>
    <col min="8" max="8" width="8.140625" style="0" customWidth="1"/>
    <col min="9" max="9" width="7.8515625" style="0" customWidth="1"/>
    <col min="10" max="10" width="5.140625" style="0" customWidth="1"/>
    <col min="11" max="11" width="7.8515625" style="0" customWidth="1"/>
    <col min="12" max="12" width="6.8515625" style="0" customWidth="1"/>
    <col min="13" max="13" width="5.8515625" style="0" customWidth="1"/>
    <col min="14" max="14" width="3.00390625" style="0" customWidth="1"/>
    <col min="15" max="15" width="9.7109375" style="0" customWidth="1"/>
    <col min="16" max="16" width="8.57421875" style="0" customWidth="1"/>
    <col min="17" max="17" width="6.140625" style="0" customWidth="1"/>
    <col min="18" max="18" width="5.8515625" style="0" customWidth="1"/>
    <col min="19" max="19" width="7.140625" style="0" customWidth="1"/>
    <col min="20" max="20" width="12.00390625" style="0" customWidth="1"/>
    <col min="21" max="21" width="11.00390625" style="0" customWidth="1"/>
    <col min="22" max="22" width="9.28125" style="0" customWidth="1"/>
    <col min="23" max="23" width="7.421875" style="388" customWidth="1"/>
    <col min="24" max="24" width="13.00390625" style="0" customWidth="1"/>
    <col min="25" max="25" width="10.57421875" style="0" hidden="1" customWidth="1"/>
    <col min="26" max="26" width="10.8515625" style="0" hidden="1" customWidth="1"/>
    <col min="27" max="27" width="9.57421875" style="0" hidden="1" customWidth="1"/>
    <col min="28" max="28" width="9.140625" style="0" hidden="1" customWidth="1"/>
    <col min="29" max="29" width="9.57421875" style="0" hidden="1" customWidth="1"/>
    <col min="30" max="33" width="9.140625" style="0" hidden="1" customWidth="1"/>
    <col min="34" max="39" width="9.57421875" style="0" hidden="1" customWidth="1"/>
    <col min="40" max="40" width="12.28125" style="0" hidden="1" customWidth="1"/>
    <col min="41" max="41" width="9.57421875" style="0" hidden="1" customWidth="1"/>
    <col min="42" max="42" width="9.140625" style="0" hidden="1" customWidth="1"/>
    <col min="43" max="43" width="10.8515625" style="0" hidden="1" customWidth="1"/>
    <col min="44" max="50" width="9.140625" style="0" hidden="1" customWidth="1"/>
    <col min="51" max="51" width="11.28125" style="0" hidden="1" customWidth="1"/>
    <col min="52" max="97" width="9.140625" style="0" hidden="1" customWidth="1"/>
    <col min="98" max="100" width="9.140625" style="0" customWidth="1"/>
  </cols>
  <sheetData>
    <row r="1" spans="2:62" ht="23.25">
      <c r="B1" s="16" t="s">
        <v>0</v>
      </c>
      <c r="C1" s="904" t="str">
        <f>+WORKING!B1</f>
        <v>S.BALAJI</v>
      </c>
      <c r="E1" s="1118" t="s">
        <v>68</v>
      </c>
      <c r="F1" s="4"/>
      <c r="G1" s="1664" t="s">
        <v>243</v>
      </c>
      <c r="H1" s="1664"/>
      <c r="I1" s="1664"/>
      <c r="J1" s="1664"/>
      <c r="K1" s="1664"/>
      <c r="L1" s="1664"/>
      <c r="M1" s="1664"/>
      <c r="N1" s="1664"/>
      <c r="O1" s="1664"/>
      <c r="P1" s="1664"/>
      <c r="Q1" s="1664"/>
      <c r="R1" s="1664"/>
      <c r="S1" s="1664"/>
      <c r="T1" s="1664"/>
      <c r="U1" s="1664"/>
      <c r="V1" s="1664"/>
      <c r="W1" s="1664"/>
      <c r="AB1" s="106"/>
      <c r="AC1" s="107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</row>
    <row r="2" spans="2:87" s="10" customFormat="1" ht="18.75" customHeight="1">
      <c r="B2" s="105" t="s">
        <v>7</v>
      </c>
      <c r="C2" s="904" t="str">
        <f>+WORKING!B2</f>
        <v>JE-II</v>
      </c>
      <c r="E2" s="1119" t="s">
        <v>69</v>
      </c>
      <c r="F2" s="1127"/>
      <c r="G2" s="1665" t="s">
        <v>442</v>
      </c>
      <c r="H2" s="1665"/>
      <c r="I2" s="1665"/>
      <c r="J2" s="1665"/>
      <c r="K2" s="1665"/>
      <c r="L2" s="1665"/>
      <c r="M2" s="1665"/>
      <c r="N2" s="1665"/>
      <c r="O2" s="1665"/>
      <c r="P2" s="1665"/>
      <c r="Q2" s="1665"/>
      <c r="R2" s="1665"/>
      <c r="S2" s="1665"/>
      <c r="T2" s="1665"/>
      <c r="U2" s="1665"/>
      <c r="V2" s="1665"/>
      <c r="W2" s="1665"/>
      <c r="AB2" s="108"/>
      <c r="AC2" s="109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6"/>
      <c r="BC2" s="106"/>
      <c r="BD2" s="106"/>
      <c r="BE2" s="106"/>
      <c r="BF2" s="106"/>
      <c r="BG2" s="106"/>
      <c r="BH2" s="108"/>
      <c r="BI2" s="108"/>
      <c r="BJ2" s="108"/>
      <c r="BZ2"/>
      <c r="CA2"/>
      <c r="CB2"/>
      <c r="CC2"/>
      <c r="CD2"/>
      <c r="CE2"/>
      <c r="CF2"/>
      <c r="CG2"/>
      <c r="CH2"/>
      <c r="CI2"/>
    </row>
    <row r="3" spans="2:62" ht="16.5" thickBot="1">
      <c r="B3" s="16" t="s">
        <v>1</v>
      </c>
      <c r="C3" s="904" t="str">
        <f>+WORKING!B3</f>
        <v>110KV NANDANAM SS</v>
      </c>
      <c r="E3" s="1119" t="str">
        <f>+WORKING!B25</f>
        <v>S</v>
      </c>
      <c r="H3" s="13" t="s">
        <v>9</v>
      </c>
      <c r="I3" s="13" t="str">
        <f>+C1</f>
        <v>S.BALAJI</v>
      </c>
      <c r="J3" s="13"/>
      <c r="K3" s="13"/>
      <c r="L3" s="13"/>
      <c r="M3" s="13"/>
      <c r="N3" s="14"/>
      <c r="O3" s="14"/>
      <c r="P3" s="8"/>
      <c r="Q3" s="1641" t="s">
        <v>52</v>
      </c>
      <c r="R3" s="1641"/>
      <c r="S3" s="1641"/>
      <c r="T3" s="1641"/>
      <c r="U3" s="1641"/>
      <c r="V3" s="1641"/>
      <c r="W3" s="386"/>
      <c r="AB3" s="106"/>
      <c r="AC3" s="107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</row>
    <row r="4" spans="2:62" ht="18.75" thickBot="1">
      <c r="B4" s="915" t="s">
        <v>388</v>
      </c>
      <c r="C4" s="904">
        <f>+WORKING!B4</f>
        <v>4</v>
      </c>
      <c r="E4" s="1119">
        <f>+WORKING!B26</f>
        <v>2800</v>
      </c>
      <c r="H4" s="13" t="s">
        <v>10</v>
      </c>
      <c r="I4" s="13" t="str">
        <f>+C2</f>
        <v>JE-II</v>
      </c>
      <c r="J4" s="13"/>
      <c r="K4" s="13"/>
      <c r="L4" s="13"/>
      <c r="M4" s="13"/>
      <c r="N4" s="14"/>
      <c r="O4" s="14"/>
      <c r="P4" s="8"/>
      <c r="Q4" s="1659" t="str">
        <f>+WORKING!P4</f>
        <v>ABCDE1234Z</v>
      </c>
      <c r="R4" s="1660"/>
      <c r="S4" s="1660"/>
      <c r="T4" s="1660"/>
      <c r="U4" s="1660"/>
      <c r="V4" s="1661"/>
      <c r="W4" s="386"/>
      <c r="AB4" s="106"/>
      <c r="AC4" s="107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</row>
    <row r="5" spans="2:62" ht="16.5" thickBot="1">
      <c r="B5" s="99" t="s">
        <v>397</v>
      </c>
      <c r="C5" s="904">
        <f>+WORKING!B5</f>
        <v>25000</v>
      </c>
      <c r="E5" s="31"/>
      <c r="H5" s="13" t="s">
        <v>11</v>
      </c>
      <c r="I5" s="13" t="str">
        <f>+C3</f>
        <v>110KV NANDANAM SS</v>
      </c>
      <c r="J5" s="13"/>
      <c r="K5" s="13"/>
      <c r="L5" s="13"/>
      <c r="M5" s="13"/>
      <c r="N5" s="14"/>
      <c r="O5" s="14"/>
      <c r="P5" s="8"/>
      <c r="Q5" s="8"/>
      <c r="R5" s="8"/>
      <c r="S5" s="8"/>
      <c r="T5" s="8"/>
      <c r="U5" s="8"/>
      <c r="V5" s="8"/>
      <c r="W5" s="386"/>
      <c r="AB5" s="110"/>
      <c r="AC5" s="111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3"/>
    </row>
    <row r="6" spans="2:97" ht="19.5" customHeight="1" thickBot="1">
      <c r="B6" s="16" t="s">
        <v>381</v>
      </c>
      <c r="C6" s="904">
        <f>+WORKING!B6</f>
        <v>0</v>
      </c>
      <c r="D6" s="934">
        <v>1</v>
      </c>
      <c r="E6" s="937">
        <f>VLOOKUP(+C4,BZ7:CA23,2)</f>
        <v>21100</v>
      </c>
      <c r="F6" s="1128">
        <f>IF($B$28=E6,E6,IF($B$28&lt;E6,E6,0))</f>
        <v>0</v>
      </c>
      <c r="G6" s="1778" t="s">
        <v>51</v>
      </c>
      <c r="H6" s="1639" t="s">
        <v>13</v>
      </c>
      <c r="I6" s="1745" t="s">
        <v>14</v>
      </c>
      <c r="J6" s="1747" t="s">
        <v>381</v>
      </c>
      <c r="K6" s="1710" t="s">
        <v>15</v>
      </c>
      <c r="L6" s="1710" t="s">
        <v>16</v>
      </c>
      <c r="M6" s="1710" t="s">
        <v>17</v>
      </c>
      <c r="N6" s="1706"/>
      <c r="O6" s="1708" t="s">
        <v>18</v>
      </c>
      <c r="P6" s="461" t="s">
        <v>19</v>
      </c>
      <c r="Q6" s="462" t="s">
        <v>20</v>
      </c>
      <c r="R6" s="1674" t="s">
        <v>21</v>
      </c>
      <c r="S6" s="1674" t="s">
        <v>5</v>
      </c>
      <c r="T6" s="1674" t="s">
        <v>22</v>
      </c>
      <c r="U6" s="1674" t="s">
        <v>23</v>
      </c>
      <c r="V6" s="463" t="s">
        <v>24</v>
      </c>
      <c r="W6" s="968" t="s">
        <v>53</v>
      </c>
      <c r="X6" s="1132"/>
      <c r="AB6" s="81"/>
      <c r="AC6" s="82"/>
      <c r="AD6" s="82"/>
      <c r="AE6" s="82" t="s">
        <v>65</v>
      </c>
      <c r="AF6" s="82"/>
      <c r="AG6" s="83"/>
      <c r="AH6" s="107"/>
      <c r="AI6" s="107"/>
      <c r="AJ6" s="114">
        <f aca="true" t="shared" si="0" ref="AJ6:AJ11">+O13</f>
        <v>33286</v>
      </c>
      <c r="AK6" s="112"/>
      <c r="AL6" s="115" t="s">
        <v>4</v>
      </c>
      <c r="AM6" s="116">
        <f>+O8</f>
        <v>32350</v>
      </c>
      <c r="AN6" s="116">
        <f>+AM9</f>
        <v>197844</v>
      </c>
      <c r="AO6" s="113">
        <f>IF(AN6&lt;21000,0,IF(AN6&lt;30000,135,IF(AN6&lt;45000,315,IF(AN6&lt;60000,690,IF(AN6&lt;75000,1025,1250)))))</f>
        <v>1250</v>
      </c>
      <c r="AP6" s="930" t="s">
        <v>6</v>
      </c>
      <c r="AQ6" s="117" t="s">
        <v>6</v>
      </c>
      <c r="AR6" s="118">
        <v>250000</v>
      </c>
      <c r="AS6" s="112"/>
      <c r="AT6" s="119">
        <f>+AY21</f>
        <v>167510</v>
      </c>
      <c r="AU6" s="120"/>
      <c r="AV6" s="121"/>
      <c r="AW6" s="112"/>
      <c r="BB6" s="112"/>
      <c r="BC6" s="905">
        <v>0</v>
      </c>
      <c r="BD6" s="905">
        <v>1300</v>
      </c>
      <c r="BE6" s="378"/>
      <c r="BF6" s="907">
        <v>0</v>
      </c>
      <c r="BG6" s="907">
        <v>0</v>
      </c>
      <c r="BH6" s="112"/>
      <c r="BJ6" s="113"/>
      <c r="BS6" s="905">
        <v>0</v>
      </c>
      <c r="BT6" s="905">
        <v>1300</v>
      </c>
      <c r="BV6" s="907">
        <v>0</v>
      </c>
      <c r="BW6" s="907">
        <v>0</v>
      </c>
      <c r="BZ6" s="1740" t="s">
        <v>387</v>
      </c>
      <c r="CA6" s="1741"/>
      <c r="CB6" s="1741"/>
      <c r="CC6" s="1741"/>
      <c r="CD6" s="1741"/>
      <c r="CE6" s="1742"/>
      <c r="CH6" s="1743" t="s">
        <v>71</v>
      </c>
      <c r="CI6" s="1744"/>
      <c r="CQ6">
        <f>+E6</f>
        <v>21100</v>
      </c>
      <c r="CR6">
        <f>ROUND(+CQ6*3/100,0)</f>
        <v>633</v>
      </c>
      <c r="CS6" s="917">
        <f>FLOOR(+CR6+50,100)</f>
        <v>600</v>
      </c>
    </row>
    <row r="7" spans="2:97" ht="17.25" customHeight="1" thickBot="1">
      <c r="B7" s="15" t="s">
        <v>12</v>
      </c>
      <c r="C7" s="904">
        <f>+WORKING!B7</f>
        <v>800</v>
      </c>
      <c r="D7" s="935">
        <f>+D6+1</f>
        <v>2</v>
      </c>
      <c r="E7" s="938">
        <f>+CQ7</f>
        <v>21700</v>
      </c>
      <c r="F7" s="1128">
        <f>IF(B$28=E7,E7,IF(AND(B$28&gt;E6,B$28&lt;E7),E7,0))</f>
        <v>0</v>
      </c>
      <c r="G7" s="1779"/>
      <c r="H7" s="1640"/>
      <c r="I7" s="1746"/>
      <c r="J7" s="1748"/>
      <c r="K7" s="1711"/>
      <c r="L7" s="1711"/>
      <c r="M7" s="1711"/>
      <c r="N7" s="1707"/>
      <c r="O7" s="1709"/>
      <c r="P7" s="464" t="s">
        <v>26</v>
      </c>
      <c r="Q7" s="465" t="s">
        <v>27</v>
      </c>
      <c r="R7" s="1675"/>
      <c r="S7" s="1675"/>
      <c r="T7" s="1675"/>
      <c r="U7" s="1675"/>
      <c r="V7" s="466" t="s">
        <v>28</v>
      </c>
      <c r="W7" s="943">
        <f>+R47</f>
        <v>8711</v>
      </c>
      <c r="X7" s="1133"/>
      <c r="AB7" s="84"/>
      <c r="AC7" s="78"/>
      <c r="AD7" s="78"/>
      <c r="AE7" s="80">
        <v>0.12</v>
      </c>
      <c r="AF7" s="80">
        <v>0.09</v>
      </c>
      <c r="AG7" s="85" t="s">
        <v>66</v>
      </c>
      <c r="AH7" s="107"/>
      <c r="AI7" s="107"/>
      <c r="AJ7" s="124">
        <f t="shared" si="0"/>
        <v>33286</v>
      </c>
      <c r="AK7" s="107"/>
      <c r="AL7" s="125"/>
      <c r="AM7" s="126">
        <f>+AM6</f>
        <v>32350</v>
      </c>
      <c r="AN7" s="125"/>
      <c r="AO7" s="127"/>
      <c r="AP7" s="107"/>
      <c r="AQ7" s="128" t="s">
        <v>8</v>
      </c>
      <c r="AR7" s="129">
        <f>+AR6</f>
        <v>250000</v>
      </c>
      <c r="AS7" s="107"/>
      <c r="AT7" s="130">
        <f>+AX22</f>
        <v>167510</v>
      </c>
      <c r="AU7" s="131">
        <f>+AT6-AT7</f>
        <v>0</v>
      </c>
      <c r="AV7" s="132"/>
      <c r="AW7" s="107"/>
      <c r="BB7" s="107"/>
      <c r="BC7" s="905">
        <v>13601</v>
      </c>
      <c r="BD7" s="905">
        <v>1500</v>
      </c>
      <c r="BE7" s="378"/>
      <c r="BF7" s="907">
        <v>20600</v>
      </c>
      <c r="BG7" s="907">
        <v>360</v>
      </c>
      <c r="BH7" s="107"/>
      <c r="BJ7" s="136"/>
      <c r="BS7" s="905">
        <v>13601</v>
      </c>
      <c r="BT7" s="905">
        <v>1500</v>
      </c>
      <c r="BV7" s="907">
        <v>20600</v>
      </c>
      <c r="BW7" s="907">
        <v>360</v>
      </c>
      <c r="BZ7" s="910">
        <v>0</v>
      </c>
      <c r="CA7" s="910">
        <v>0</v>
      </c>
      <c r="CB7" s="910"/>
      <c r="CC7" s="910"/>
      <c r="CD7" s="910">
        <f>+BZ7</f>
        <v>0</v>
      </c>
      <c r="CE7" s="910">
        <v>0</v>
      </c>
      <c r="CH7" s="911">
        <f>+CD7</f>
        <v>0</v>
      </c>
      <c r="CI7" s="912">
        <v>0</v>
      </c>
      <c r="CQ7" s="32">
        <f>+CQ6+CS6</f>
        <v>21700</v>
      </c>
      <c r="CR7">
        <f aca="true" t="shared" si="1" ref="CR7:CR45">ROUND(+CQ7*3/100,0)</f>
        <v>651</v>
      </c>
      <c r="CS7" s="917">
        <f aca="true" t="shared" si="2" ref="CS7:CS45">FLOOR(+CR7+50,100)</f>
        <v>700</v>
      </c>
    </row>
    <row r="8" spans="2:97" ht="18.75" thickBot="1">
      <c r="B8" s="16" t="s">
        <v>25</v>
      </c>
      <c r="C8" s="904">
        <f>+WORKING!B8</f>
        <v>4</v>
      </c>
      <c r="D8" s="935">
        <f aca="true" t="shared" si="3" ref="D8:D45">+D7+1</f>
        <v>3</v>
      </c>
      <c r="E8" s="938">
        <f aca="true" t="shared" si="4" ref="E8:E45">+CQ8</f>
        <v>22400</v>
      </c>
      <c r="F8" s="1128">
        <f aca="true" t="shared" si="5" ref="F8:F45">IF(B$28=E8,E8,IF(AND(B$28&gt;E7,B$28&lt;E8),E8,0))</f>
        <v>0</v>
      </c>
      <c r="G8" s="41">
        <f>+WORKING!F8</f>
        <v>0.17</v>
      </c>
      <c r="H8" s="433">
        <f>DATE(2021,3,1)</f>
        <v>44256</v>
      </c>
      <c r="I8" s="434">
        <f>+WORKING!H8</f>
        <v>25000</v>
      </c>
      <c r="J8" s="435"/>
      <c r="K8" s="436">
        <f>+WORKING!J8</f>
        <v>4250</v>
      </c>
      <c r="L8" s="436">
        <f>+WORKING!K8</f>
        <v>2600</v>
      </c>
      <c r="M8" s="436">
        <f>+WORKING!L8</f>
        <v>500</v>
      </c>
      <c r="N8" s="437"/>
      <c r="O8" s="438">
        <f aca="true" t="shared" si="6" ref="O8:O19">SUM(I8:N8)</f>
        <v>32350</v>
      </c>
      <c r="P8" s="467">
        <f>+WORKING!O8</f>
        <v>0</v>
      </c>
      <c r="Q8" s="467">
        <f>+WORKING!P8</f>
        <v>200</v>
      </c>
      <c r="R8" s="467">
        <f>+WORKING!Q8</f>
        <v>0</v>
      </c>
      <c r="S8" s="467">
        <f>+WORKING!R8</f>
        <v>0</v>
      </c>
      <c r="T8" s="467">
        <f>+WORKING!S8</f>
        <v>0</v>
      </c>
      <c r="U8" s="468"/>
      <c r="V8" s="469">
        <v>5000</v>
      </c>
      <c r="W8" s="408">
        <f>+W7-V8</f>
        <v>3711</v>
      </c>
      <c r="X8" s="1423">
        <v>3</v>
      </c>
      <c r="AB8" s="86">
        <f>DATE(2020,1,1)</f>
        <v>43831</v>
      </c>
      <c r="AC8" s="78">
        <f>+I8</f>
        <v>25000</v>
      </c>
      <c r="AD8" s="78">
        <f>+J8</f>
        <v>0</v>
      </c>
      <c r="AE8" s="79">
        <f>ROUND((+AC8+AD8)*AE7,0)</f>
        <v>3000</v>
      </c>
      <c r="AF8" s="79">
        <f>ROUND((+AC8+AD8)*AF7,0)</f>
        <v>2250</v>
      </c>
      <c r="AG8" s="85">
        <f>+AE8-AF8</f>
        <v>750</v>
      </c>
      <c r="AH8" s="107"/>
      <c r="AI8" s="107"/>
      <c r="AJ8" s="124">
        <f t="shared" si="0"/>
        <v>33286</v>
      </c>
      <c r="AK8" s="107"/>
      <c r="AL8" s="107"/>
      <c r="AM8" s="170">
        <f>+O9+O10+O11+O12</f>
        <v>133144</v>
      </c>
      <c r="AN8" s="107"/>
      <c r="AO8" s="136"/>
      <c r="AP8" s="107"/>
      <c r="AQ8" s="107"/>
      <c r="AR8" s="107"/>
      <c r="AS8" s="107"/>
      <c r="AT8" s="130"/>
      <c r="AU8" s="131">
        <f>+AX23</f>
        <v>0</v>
      </c>
      <c r="AV8" s="132">
        <f>+AU7-AU8</f>
        <v>0</v>
      </c>
      <c r="AW8" s="107"/>
      <c r="BB8" s="107"/>
      <c r="BC8" s="905">
        <v>17201</v>
      </c>
      <c r="BD8" s="905">
        <v>1800</v>
      </c>
      <c r="BE8" s="378"/>
      <c r="BF8" s="907">
        <v>20601</v>
      </c>
      <c r="BG8" s="907">
        <v>500</v>
      </c>
      <c r="BH8" s="107"/>
      <c r="BI8" s="107"/>
      <c r="BJ8" s="136"/>
      <c r="BM8">
        <f>I8</f>
        <v>25000</v>
      </c>
      <c r="BN8">
        <f>J8</f>
        <v>0</v>
      </c>
      <c r="BO8">
        <f>BM8+BN8</f>
        <v>25000</v>
      </c>
      <c r="BP8">
        <f>VLOOKUP(+BO8,BS$6:BT$23,2)</f>
        <v>2600</v>
      </c>
      <c r="BQ8">
        <f>VLOOKUP(+BO8,BV$6:BW$10,2)</f>
        <v>500</v>
      </c>
      <c r="BS8" s="905">
        <v>17201</v>
      </c>
      <c r="BT8" s="905">
        <v>1800</v>
      </c>
      <c r="BV8" s="907">
        <v>20601</v>
      </c>
      <c r="BW8" s="907">
        <v>500</v>
      </c>
      <c r="BZ8" s="910">
        <f>+BZ7+1</f>
        <v>1</v>
      </c>
      <c r="CA8" s="913">
        <v>18800</v>
      </c>
      <c r="CB8" s="913"/>
      <c r="CC8" s="913"/>
      <c r="CD8" s="913">
        <f aca="true" t="shared" si="7" ref="CD8:CD22">+BZ8</f>
        <v>1</v>
      </c>
      <c r="CE8" s="913">
        <v>59900</v>
      </c>
      <c r="CH8" s="911">
        <f aca="true" t="shared" si="8" ref="CH8:CH22">+CD8</f>
        <v>1</v>
      </c>
      <c r="CI8" s="912">
        <v>1900</v>
      </c>
      <c r="CQ8" s="32">
        <f aca="true" t="shared" si="9" ref="CQ8:CQ45">+CQ7+CS7</f>
        <v>22400</v>
      </c>
      <c r="CR8">
        <f t="shared" si="1"/>
        <v>672</v>
      </c>
      <c r="CS8" s="917">
        <f t="shared" si="2"/>
        <v>700</v>
      </c>
    </row>
    <row r="9" spans="2:97" ht="18.75" thickBot="1">
      <c r="B9" s="19" t="s">
        <v>398</v>
      </c>
      <c r="C9" s="904">
        <f>+WORKING!B9</f>
        <v>25800</v>
      </c>
      <c r="D9" s="935">
        <f t="shared" si="3"/>
        <v>4</v>
      </c>
      <c r="E9" s="938">
        <f t="shared" si="4"/>
        <v>23100</v>
      </c>
      <c r="F9" s="1128">
        <f t="shared" si="5"/>
        <v>0</v>
      </c>
      <c r="G9" s="41">
        <f>+WORKING!F9</f>
        <v>0.17</v>
      </c>
      <c r="H9" s="439">
        <f>DATE(2021,4,1)</f>
        <v>44287</v>
      </c>
      <c r="I9" s="440">
        <f>+WORKING!H9</f>
        <v>25800</v>
      </c>
      <c r="J9" s="441"/>
      <c r="K9" s="1191">
        <f>+WORKING!J9</f>
        <v>4386</v>
      </c>
      <c r="L9" s="1191">
        <f>+WORKING!K9</f>
        <v>2600</v>
      </c>
      <c r="M9" s="1191">
        <f>+WORKING!L9</f>
        <v>500</v>
      </c>
      <c r="N9" s="442"/>
      <c r="O9" s="443">
        <f t="shared" si="6"/>
        <v>33286</v>
      </c>
      <c r="P9" s="467">
        <f>+WORKING!O9</f>
        <v>0</v>
      </c>
      <c r="Q9" s="467">
        <f>+WORKING!P9</f>
        <v>200</v>
      </c>
      <c r="R9" s="467">
        <f>+WORKING!Q9</f>
        <v>0</v>
      </c>
      <c r="S9" s="467">
        <f>+WORKING!R9</f>
        <v>0</v>
      </c>
      <c r="T9" s="467">
        <f>+WORKING!S9</f>
        <v>0</v>
      </c>
      <c r="U9" s="471"/>
      <c r="V9" s="469">
        <f>+V8</f>
        <v>5000</v>
      </c>
      <c r="W9" s="409">
        <f>+W8-V9</f>
        <v>-1289</v>
      </c>
      <c r="X9" s="1424">
        <f>+X8+1</f>
        <v>4</v>
      </c>
      <c r="AB9" s="86">
        <f>DATE(2020,2,1)</f>
        <v>43862</v>
      </c>
      <c r="AC9" s="78">
        <f>+AC8</f>
        <v>25000</v>
      </c>
      <c r="AD9" s="78">
        <f>+J9</f>
        <v>0</v>
      </c>
      <c r="AE9" s="79">
        <f>ROUND((+AC9+AD9)*AE7,0)</f>
        <v>3000</v>
      </c>
      <c r="AF9" s="79">
        <f>ROUND((+AC9+AD9)*AF7,0)</f>
        <v>2250</v>
      </c>
      <c r="AG9" s="85">
        <f>+AE9-AF9</f>
        <v>750</v>
      </c>
      <c r="AH9" s="107"/>
      <c r="AI9" s="107"/>
      <c r="AJ9" s="124">
        <f t="shared" si="0"/>
        <v>33286</v>
      </c>
      <c r="AK9" s="107"/>
      <c r="AL9" s="107"/>
      <c r="AM9" s="244">
        <f>SUM(AM6:AM8)</f>
        <v>197844</v>
      </c>
      <c r="AN9" s="107"/>
      <c r="AO9" s="127">
        <f>+AO6</f>
        <v>1250</v>
      </c>
      <c r="AP9" s="107"/>
      <c r="AQ9" s="107"/>
      <c r="AR9" s="107"/>
      <c r="AS9" s="107"/>
      <c r="AT9" s="137"/>
      <c r="AU9" s="138"/>
      <c r="AV9" s="139">
        <f>+AT7+AU8+AV8</f>
        <v>167510</v>
      </c>
      <c r="AW9" s="107"/>
      <c r="BB9" s="107"/>
      <c r="BC9" s="905">
        <v>21001</v>
      </c>
      <c r="BD9" s="905">
        <v>2100</v>
      </c>
      <c r="BE9" s="378"/>
      <c r="BF9" s="907">
        <v>30801</v>
      </c>
      <c r="BG9" s="907">
        <v>800</v>
      </c>
      <c r="BH9" s="107"/>
      <c r="BI9" s="107"/>
      <c r="BJ9" s="136"/>
      <c r="BM9">
        <f aca="true" t="shared" si="10" ref="BM9:BN19">I9</f>
        <v>25800</v>
      </c>
      <c r="BN9">
        <f t="shared" si="10"/>
        <v>0</v>
      </c>
      <c r="BO9">
        <f aca="true" t="shared" si="11" ref="BO9:BO19">BM9+BN9</f>
        <v>25800</v>
      </c>
      <c r="BP9">
        <f aca="true" t="shared" si="12" ref="BP9:BP19">VLOOKUP(+BO9,BS$6:BT$23,2)</f>
        <v>2600</v>
      </c>
      <c r="BQ9">
        <f aca="true" t="shared" si="13" ref="BQ9:BQ19">VLOOKUP(+BO9,BV$6:BW$10,2)</f>
        <v>500</v>
      </c>
      <c r="BS9" s="905">
        <v>21001</v>
      </c>
      <c r="BT9" s="905">
        <v>2100</v>
      </c>
      <c r="BV9" s="907">
        <v>30801</v>
      </c>
      <c r="BW9" s="907">
        <v>800</v>
      </c>
      <c r="BZ9" s="910">
        <f aca="true" t="shared" si="14" ref="BZ9:BZ23">+BZ8+1</f>
        <v>2</v>
      </c>
      <c r="CA9" s="913">
        <v>19500</v>
      </c>
      <c r="CB9" s="913"/>
      <c r="CC9" s="913"/>
      <c r="CD9" s="913">
        <f t="shared" si="7"/>
        <v>2</v>
      </c>
      <c r="CE9" s="913">
        <v>62000</v>
      </c>
      <c r="CH9" s="911">
        <f t="shared" si="8"/>
        <v>2</v>
      </c>
      <c r="CI9" s="912">
        <v>2200</v>
      </c>
      <c r="CQ9" s="32">
        <f t="shared" si="9"/>
        <v>23100</v>
      </c>
      <c r="CR9">
        <f t="shared" si="1"/>
        <v>693</v>
      </c>
      <c r="CS9" s="917">
        <f t="shared" si="2"/>
        <v>700</v>
      </c>
    </row>
    <row r="10" spans="2:97" ht="18.75" thickBot="1">
      <c r="B10" s="1724" t="s">
        <v>232</v>
      </c>
      <c r="C10" s="904" t="str">
        <f>+WORKING!B10</f>
        <v>YES  OR  NO</v>
      </c>
      <c r="D10" s="935">
        <f t="shared" si="3"/>
        <v>5</v>
      </c>
      <c r="E10" s="938">
        <f t="shared" si="4"/>
        <v>23800</v>
      </c>
      <c r="F10" s="1128">
        <f t="shared" si="5"/>
        <v>0</v>
      </c>
      <c r="G10" s="41">
        <f>+WORKING!F10</f>
        <v>0.17</v>
      </c>
      <c r="H10" s="439">
        <f>DATE(2021,5,1)</f>
        <v>44317</v>
      </c>
      <c r="I10" s="440">
        <f>+WORKING!H10</f>
        <v>25800</v>
      </c>
      <c r="J10" s="441"/>
      <c r="K10" s="1191">
        <f>+WORKING!J10</f>
        <v>4386</v>
      </c>
      <c r="L10" s="1191">
        <f>+WORKING!K10</f>
        <v>2600</v>
      </c>
      <c r="M10" s="1191">
        <f>+WORKING!L10</f>
        <v>500</v>
      </c>
      <c r="N10" s="442"/>
      <c r="O10" s="443">
        <f t="shared" si="6"/>
        <v>33286</v>
      </c>
      <c r="P10" s="467">
        <f>+WORKING!O10</f>
        <v>0</v>
      </c>
      <c r="Q10" s="467">
        <f>+WORKING!P10</f>
        <v>200</v>
      </c>
      <c r="R10" s="467">
        <f>+WORKING!Q10</f>
        <v>0</v>
      </c>
      <c r="S10" s="467">
        <f>+WORKING!R10</f>
        <v>0</v>
      </c>
      <c r="T10" s="467">
        <f>+WORKING!S10</f>
        <v>0</v>
      </c>
      <c r="U10" s="471"/>
      <c r="V10" s="469">
        <f>+V9</f>
        <v>5000</v>
      </c>
      <c r="W10" s="409">
        <f aca="true" t="shared" si="15" ref="W10:W19">+W9-V10</f>
        <v>-6289</v>
      </c>
      <c r="X10" s="1424">
        <f aca="true" t="shared" si="16" ref="X10:X19">+X9+1</f>
        <v>5</v>
      </c>
      <c r="AB10" s="87"/>
      <c r="AC10" s="57"/>
      <c r="AD10" s="57"/>
      <c r="AE10" s="57"/>
      <c r="AF10" s="57"/>
      <c r="AG10" s="88"/>
      <c r="AH10" s="107"/>
      <c r="AI10" s="107"/>
      <c r="AJ10" s="124">
        <f t="shared" si="0"/>
        <v>33286</v>
      </c>
      <c r="AK10" s="107"/>
      <c r="AL10" s="107"/>
      <c r="AM10" s="107"/>
      <c r="AN10" s="107"/>
      <c r="AO10" s="140">
        <f>+AO8+AO9</f>
        <v>1250</v>
      </c>
      <c r="AP10" s="107"/>
      <c r="AQ10" s="107"/>
      <c r="AR10" s="107"/>
      <c r="AS10" s="107"/>
      <c r="AT10" s="107"/>
      <c r="AU10" s="107"/>
      <c r="AV10" s="107"/>
      <c r="AW10" s="107"/>
      <c r="BB10" s="107"/>
      <c r="BC10" s="905">
        <v>23901</v>
      </c>
      <c r="BD10" s="905">
        <v>2600</v>
      </c>
      <c r="BE10" s="378"/>
      <c r="BF10" s="908">
        <v>41101</v>
      </c>
      <c r="BG10" s="908">
        <v>1200</v>
      </c>
      <c r="BH10" s="107"/>
      <c r="BI10" s="107"/>
      <c r="BJ10" s="136"/>
      <c r="BM10">
        <f t="shared" si="10"/>
        <v>25800</v>
      </c>
      <c r="BN10">
        <f t="shared" si="10"/>
        <v>0</v>
      </c>
      <c r="BO10">
        <f t="shared" si="11"/>
        <v>25800</v>
      </c>
      <c r="BP10">
        <f t="shared" si="12"/>
        <v>2600</v>
      </c>
      <c r="BQ10">
        <f t="shared" si="13"/>
        <v>500</v>
      </c>
      <c r="BS10" s="905">
        <v>23901</v>
      </c>
      <c r="BT10" s="905">
        <v>2600</v>
      </c>
      <c r="BV10" s="908">
        <v>41101</v>
      </c>
      <c r="BW10" s="908">
        <v>1200</v>
      </c>
      <c r="BZ10" s="910">
        <f t="shared" si="14"/>
        <v>3</v>
      </c>
      <c r="CA10" s="913">
        <v>20300</v>
      </c>
      <c r="CB10" s="913"/>
      <c r="CC10" s="913"/>
      <c r="CD10" s="913">
        <f t="shared" si="7"/>
        <v>3</v>
      </c>
      <c r="CE10" s="913">
        <v>64100</v>
      </c>
      <c r="CH10" s="911">
        <f t="shared" si="8"/>
        <v>3</v>
      </c>
      <c r="CI10" s="912">
        <v>2500</v>
      </c>
      <c r="CQ10" s="32">
        <f t="shared" si="9"/>
        <v>23800</v>
      </c>
      <c r="CR10">
        <f t="shared" si="1"/>
        <v>714</v>
      </c>
      <c r="CS10" s="917">
        <f t="shared" si="2"/>
        <v>700</v>
      </c>
    </row>
    <row r="11" spans="2:97" ht="22.5" customHeight="1" thickBot="1">
      <c r="B11" s="1725"/>
      <c r="C11" s="904" t="str">
        <f>+WORKING!B11</f>
        <v>Y</v>
      </c>
      <c r="D11" s="935">
        <f t="shared" si="3"/>
        <v>6</v>
      </c>
      <c r="E11" s="938">
        <f t="shared" si="4"/>
        <v>24500</v>
      </c>
      <c r="F11" s="1128">
        <f t="shared" si="5"/>
        <v>0</v>
      </c>
      <c r="G11" s="41">
        <f>+WORKING!F11</f>
        <v>0.17</v>
      </c>
      <c r="H11" s="439">
        <f>DATE(2021,6,1)</f>
        <v>44348</v>
      </c>
      <c r="I11" s="440">
        <f>+WORKING!H11</f>
        <v>25800</v>
      </c>
      <c r="J11" s="441"/>
      <c r="K11" s="1191">
        <f>+WORKING!J11</f>
        <v>4386</v>
      </c>
      <c r="L11" s="1191">
        <f>+WORKING!K11</f>
        <v>2600</v>
      </c>
      <c r="M11" s="1191">
        <f>+WORKING!L11</f>
        <v>500</v>
      </c>
      <c r="N11" s="442"/>
      <c r="O11" s="443">
        <f t="shared" si="6"/>
        <v>33286</v>
      </c>
      <c r="P11" s="467">
        <f>+WORKING!O11</f>
        <v>0</v>
      </c>
      <c r="Q11" s="467">
        <f>+WORKING!P11</f>
        <v>200</v>
      </c>
      <c r="R11" s="467">
        <f>+WORKING!Q11</f>
        <v>0</v>
      </c>
      <c r="S11" s="467">
        <f>+WORKING!R11</f>
        <v>0</v>
      </c>
      <c r="T11" s="467">
        <f>+WORKING!S11</f>
        <v>0</v>
      </c>
      <c r="U11" s="471"/>
      <c r="V11" s="469">
        <f aca="true" t="shared" si="17" ref="V11:V18">+V10</f>
        <v>5000</v>
      </c>
      <c r="W11" s="409">
        <f t="shared" si="15"/>
        <v>-11289</v>
      </c>
      <c r="X11" s="1424">
        <f t="shared" si="16"/>
        <v>6</v>
      </c>
      <c r="AB11" s="87" t="s">
        <v>29</v>
      </c>
      <c r="AC11" s="141" t="str">
        <f>+H22</f>
        <v> </v>
      </c>
      <c r="AD11" s="57"/>
      <c r="AE11" s="57"/>
      <c r="AF11" s="57"/>
      <c r="AG11" s="85">
        <f>+AF16</f>
        <v>0</v>
      </c>
      <c r="AH11" s="107"/>
      <c r="AI11" s="107"/>
      <c r="AJ11" s="124">
        <f t="shared" si="0"/>
        <v>36898</v>
      </c>
      <c r="AK11" s="107"/>
      <c r="AL11" s="107"/>
      <c r="AM11" s="107"/>
      <c r="AN11" s="107"/>
      <c r="AO11" s="136"/>
      <c r="AP11" s="107"/>
      <c r="AQ11" s="107"/>
      <c r="AR11" s="107"/>
      <c r="AS11" s="107"/>
      <c r="AT11" s="107"/>
      <c r="AU11" s="107"/>
      <c r="AV11" s="142">
        <f>+AT7+AU8</f>
        <v>167510</v>
      </c>
      <c r="AW11" s="107"/>
      <c r="BB11" s="107"/>
      <c r="BC11" s="905">
        <v>27201</v>
      </c>
      <c r="BD11" s="905">
        <v>3100</v>
      </c>
      <c r="BE11" s="378"/>
      <c r="BF11" s="378"/>
      <c r="BG11" s="378"/>
      <c r="BH11" s="107"/>
      <c r="BI11" s="107"/>
      <c r="BJ11" s="136"/>
      <c r="BM11">
        <f t="shared" si="10"/>
        <v>25800</v>
      </c>
      <c r="BN11">
        <f t="shared" si="10"/>
        <v>0</v>
      </c>
      <c r="BO11">
        <f t="shared" si="11"/>
        <v>25800</v>
      </c>
      <c r="BP11">
        <f t="shared" si="12"/>
        <v>2600</v>
      </c>
      <c r="BQ11">
        <f t="shared" si="13"/>
        <v>500</v>
      </c>
      <c r="BS11" s="905">
        <v>27201</v>
      </c>
      <c r="BT11" s="905">
        <v>3100</v>
      </c>
      <c r="BZ11" s="910">
        <f t="shared" si="14"/>
        <v>4</v>
      </c>
      <c r="CA11" s="913">
        <v>21100</v>
      </c>
      <c r="CB11" s="913"/>
      <c r="CC11" s="913"/>
      <c r="CD11" s="913">
        <f t="shared" si="7"/>
        <v>4</v>
      </c>
      <c r="CE11" s="913">
        <v>67100</v>
      </c>
      <c r="CH11" s="911">
        <f t="shared" si="8"/>
        <v>4</v>
      </c>
      <c r="CI11" s="912">
        <v>2800</v>
      </c>
      <c r="CQ11" s="32">
        <f t="shared" si="9"/>
        <v>24500</v>
      </c>
      <c r="CR11">
        <f t="shared" si="1"/>
        <v>735</v>
      </c>
      <c r="CS11" s="917">
        <f t="shared" si="2"/>
        <v>700</v>
      </c>
    </row>
    <row r="12" spans="2:97" ht="18.75" thickBot="1">
      <c r="B12" s="102" t="s">
        <v>237</v>
      </c>
      <c r="C12" s="904" t="str">
        <f>+WORKING!B12</f>
        <v>Y</v>
      </c>
      <c r="D12" s="935">
        <f t="shared" si="3"/>
        <v>7</v>
      </c>
      <c r="E12" s="938">
        <f t="shared" si="4"/>
        <v>25200</v>
      </c>
      <c r="F12" s="1128">
        <f t="shared" si="5"/>
        <v>0</v>
      </c>
      <c r="G12" s="41">
        <f>+WORKING!F12</f>
        <v>0.17</v>
      </c>
      <c r="H12" s="439">
        <f>DATE(2021,7,1)</f>
        <v>44378</v>
      </c>
      <c r="I12" s="440">
        <f>+WORKING!H12</f>
        <v>25800</v>
      </c>
      <c r="J12" s="441"/>
      <c r="K12" s="1191">
        <f>+WORKING!J12</f>
        <v>4386</v>
      </c>
      <c r="L12" s="1191">
        <f>+WORKING!K12</f>
        <v>2600</v>
      </c>
      <c r="M12" s="1191">
        <f>+WORKING!L12</f>
        <v>500</v>
      </c>
      <c r="N12" s="442"/>
      <c r="O12" s="443">
        <f t="shared" si="6"/>
        <v>33286</v>
      </c>
      <c r="P12" s="467">
        <f>+WORKING!O12</f>
        <v>0</v>
      </c>
      <c r="Q12" s="467">
        <f>+WORKING!P12</f>
        <v>200</v>
      </c>
      <c r="R12" s="467">
        <f>+WORKING!Q12</f>
        <v>0</v>
      </c>
      <c r="S12" s="467">
        <f>+WORKING!R12</f>
        <v>0</v>
      </c>
      <c r="T12" s="467">
        <f>+WORKING!S12</f>
        <v>0</v>
      </c>
      <c r="U12" s="471"/>
      <c r="V12" s="469">
        <f t="shared" si="17"/>
        <v>5000</v>
      </c>
      <c r="W12" s="409">
        <f t="shared" si="15"/>
        <v>-16289</v>
      </c>
      <c r="X12" s="1424">
        <f t="shared" si="16"/>
        <v>7</v>
      </c>
      <c r="AB12" s="1720" t="s">
        <v>67</v>
      </c>
      <c r="AC12" s="1721"/>
      <c r="AD12" s="89"/>
      <c r="AE12" s="89"/>
      <c r="AF12" s="89"/>
      <c r="AG12" s="93">
        <f>+AG8+AG9+AG11</f>
        <v>1500</v>
      </c>
      <c r="AH12" s="107"/>
      <c r="AI12" s="107"/>
      <c r="AJ12" s="244">
        <f>SUM(AJ6:AJ11)</f>
        <v>203328</v>
      </c>
      <c r="AK12" s="138"/>
      <c r="AL12" s="143" t="s">
        <v>4</v>
      </c>
      <c r="AM12" s="144">
        <f>+O14</f>
        <v>33286</v>
      </c>
      <c r="AN12" s="144">
        <f>+AJ12</f>
        <v>203328</v>
      </c>
      <c r="AO12" s="127">
        <f>IF(AN12&lt;21000,0,IF(AN12&lt;30000,135,IF(AN12&lt;45000,315,IF(AN12&lt;60000,690,IF(AN12&lt;75000,1025,1250)))))</f>
        <v>1250</v>
      </c>
      <c r="AP12" s="107"/>
      <c r="AQ12" s="107"/>
      <c r="AR12" s="107"/>
      <c r="AS12" s="107"/>
      <c r="AT12" s="107"/>
      <c r="AU12" s="107"/>
      <c r="AV12" s="107"/>
      <c r="AW12" s="107"/>
      <c r="BB12" s="107"/>
      <c r="BC12" s="905">
        <v>30601</v>
      </c>
      <c r="BD12" s="905">
        <v>3600</v>
      </c>
      <c r="BE12" s="378"/>
      <c r="BF12" s="378"/>
      <c r="BG12" s="378"/>
      <c r="BH12" s="107"/>
      <c r="BI12" s="107"/>
      <c r="BJ12" s="136"/>
      <c r="BM12">
        <f t="shared" si="10"/>
        <v>25800</v>
      </c>
      <c r="BN12">
        <f t="shared" si="10"/>
        <v>0</v>
      </c>
      <c r="BO12">
        <f t="shared" si="11"/>
        <v>25800</v>
      </c>
      <c r="BP12">
        <f t="shared" si="12"/>
        <v>2600</v>
      </c>
      <c r="BQ12">
        <f t="shared" si="13"/>
        <v>500</v>
      </c>
      <c r="BS12" s="905">
        <v>30601</v>
      </c>
      <c r="BT12" s="905">
        <v>3600</v>
      </c>
      <c r="BZ12" s="910">
        <f t="shared" si="14"/>
        <v>5</v>
      </c>
      <c r="CA12" s="913">
        <v>36400</v>
      </c>
      <c r="CB12" s="913"/>
      <c r="CC12" s="913"/>
      <c r="CD12" s="913">
        <f t="shared" si="7"/>
        <v>5</v>
      </c>
      <c r="CE12" s="913">
        <v>115700</v>
      </c>
      <c r="CH12" s="911">
        <f t="shared" si="8"/>
        <v>5</v>
      </c>
      <c r="CI12" s="912">
        <v>4300</v>
      </c>
      <c r="CQ12" s="32">
        <f t="shared" si="9"/>
        <v>25200</v>
      </c>
      <c r="CR12">
        <f t="shared" si="1"/>
        <v>756</v>
      </c>
      <c r="CS12" s="917">
        <f t="shared" si="2"/>
        <v>800</v>
      </c>
    </row>
    <row r="13" spans="2:97" ht="18.75" thickBot="1">
      <c r="B13" s="592" t="s">
        <v>303</v>
      </c>
      <c r="C13" s="904">
        <f>+WORKING!B13</f>
        <v>8300</v>
      </c>
      <c r="D13" s="935">
        <f t="shared" si="3"/>
        <v>8</v>
      </c>
      <c r="E13" s="938">
        <f t="shared" si="4"/>
        <v>26000</v>
      </c>
      <c r="F13" s="1128">
        <f t="shared" si="5"/>
        <v>26000</v>
      </c>
      <c r="G13" s="41">
        <f>+WORKING!F13</f>
        <v>0.17</v>
      </c>
      <c r="H13" s="439">
        <f>DATE(2021,8,1)</f>
        <v>44409</v>
      </c>
      <c r="I13" s="440">
        <f>+WORKING!H13</f>
        <v>25800</v>
      </c>
      <c r="J13" s="441"/>
      <c r="K13" s="1191">
        <f>+WORKING!J13</f>
        <v>4386</v>
      </c>
      <c r="L13" s="1191">
        <f>+WORKING!K13</f>
        <v>2600</v>
      </c>
      <c r="M13" s="1191">
        <f>+WORKING!L13</f>
        <v>500</v>
      </c>
      <c r="N13" s="442"/>
      <c r="O13" s="443">
        <f t="shared" si="6"/>
        <v>33286</v>
      </c>
      <c r="P13" s="467">
        <f>+WORKING!O13</f>
        <v>0</v>
      </c>
      <c r="Q13" s="467">
        <f>+WORKING!P13</f>
        <v>200</v>
      </c>
      <c r="R13" s="467">
        <f>+WORKING!Q13</f>
        <v>0</v>
      </c>
      <c r="S13" s="467">
        <f>+WORKING!R13</f>
        <v>0</v>
      </c>
      <c r="T13" s="467">
        <f>+WORKING!S13</f>
        <v>0</v>
      </c>
      <c r="U13" s="471">
        <f>+WORKING!T13</f>
        <v>1250</v>
      </c>
      <c r="V13" s="469">
        <f t="shared" si="17"/>
        <v>5000</v>
      </c>
      <c r="W13" s="409">
        <f t="shared" si="15"/>
        <v>-21289</v>
      </c>
      <c r="X13" s="1424">
        <f t="shared" si="16"/>
        <v>8</v>
      </c>
      <c r="AB13" s="54"/>
      <c r="AC13" s="1"/>
      <c r="AD13" s="1"/>
      <c r="AE13" s="1"/>
      <c r="AF13" s="1"/>
      <c r="AG13" s="33"/>
      <c r="AH13" s="107"/>
      <c r="AI13" s="107"/>
      <c r="AJ13" s="146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BB13" s="107"/>
      <c r="BC13" s="905">
        <v>35401</v>
      </c>
      <c r="BD13" s="905">
        <v>4200</v>
      </c>
      <c r="BE13" s="378"/>
      <c r="BF13" s="378"/>
      <c r="BG13" s="378"/>
      <c r="BH13" s="107"/>
      <c r="BI13" s="107"/>
      <c r="BJ13" s="136"/>
      <c r="BM13">
        <f t="shared" si="10"/>
        <v>25800</v>
      </c>
      <c r="BN13">
        <f t="shared" si="10"/>
        <v>0</v>
      </c>
      <c r="BO13">
        <f t="shared" si="11"/>
        <v>25800</v>
      </c>
      <c r="BP13">
        <f t="shared" si="12"/>
        <v>2600</v>
      </c>
      <c r="BQ13">
        <f t="shared" si="13"/>
        <v>500</v>
      </c>
      <c r="BS13" s="905">
        <v>35401</v>
      </c>
      <c r="BT13" s="905">
        <v>4200</v>
      </c>
      <c r="BZ13" s="910">
        <f t="shared" si="14"/>
        <v>6</v>
      </c>
      <c r="CA13" s="913">
        <v>39800</v>
      </c>
      <c r="CB13" s="913"/>
      <c r="CC13" s="913"/>
      <c r="CD13" s="913">
        <f t="shared" si="7"/>
        <v>6</v>
      </c>
      <c r="CE13" s="914">
        <v>126500</v>
      </c>
      <c r="CH13" s="911">
        <f t="shared" si="8"/>
        <v>6</v>
      </c>
      <c r="CI13" s="912">
        <v>5100</v>
      </c>
      <c r="CQ13" s="32">
        <f t="shared" si="9"/>
        <v>26000</v>
      </c>
      <c r="CR13">
        <f t="shared" si="1"/>
        <v>780</v>
      </c>
      <c r="CS13" s="917">
        <f t="shared" si="2"/>
        <v>800</v>
      </c>
    </row>
    <row r="14" spans="2:97" ht="18.75" thickBot="1">
      <c r="B14" s="593" t="s">
        <v>304</v>
      </c>
      <c r="C14" s="904">
        <f>+WORKING!B14</f>
        <v>31200</v>
      </c>
      <c r="D14" s="935">
        <f t="shared" si="3"/>
        <v>9</v>
      </c>
      <c r="E14" s="938">
        <f t="shared" si="4"/>
        <v>26800</v>
      </c>
      <c r="F14" s="1128">
        <f t="shared" si="5"/>
        <v>0</v>
      </c>
      <c r="G14" s="41">
        <f>+WORKING!F14</f>
        <v>0.17</v>
      </c>
      <c r="H14" s="439">
        <f>DATE(2021,9,1)</f>
        <v>44440</v>
      </c>
      <c r="I14" s="440">
        <f>+WORKING!H14</f>
        <v>25800</v>
      </c>
      <c r="J14" s="441"/>
      <c r="K14" s="1191">
        <f>+WORKING!J14</f>
        <v>4386</v>
      </c>
      <c r="L14" s="1191">
        <f>+WORKING!K14</f>
        <v>2600</v>
      </c>
      <c r="M14" s="1191">
        <f>+WORKING!L14</f>
        <v>500</v>
      </c>
      <c r="N14" s="442"/>
      <c r="O14" s="443">
        <f t="shared" si="6"/>
        <v>33286</v>
      </c>
      <c r="P14" s="467">
        <f>+WORKING!O14</f>
        <v>0</v>
      </c>
      <c r="Q14" s="467">
        <f>+WORKING!P14</f>
        <v>200</v>
      </c>
      <c r="R14" s="467">
        <f>+WORKING!Q14</f>
        <v>0</v>
      </c>
      <c r="S14" s="467">
        <f>+WORKING!R14</f>
        <v>0</v>
      </c>
      <c r="T14" s="467">
        <f>+WORKING!S14</f>
        <v>0</v>
      </c>
      <c r="U14" s="471"/>
      <c r="V14" s="469">
        <f t="shared" si="17"/>
        <v>5000</v>
      </c>
      <c r="W14" s="409">
        <f t="shared" si="15"/>
        <v>-26289</v>
      </c>
      <c r="X14" s="1424">
        <f t="shared" si="16"/>
        <v>9</v>
      </c>
      <c r="Y14" s="10"/>
      <c r="Z14" s="10"/>
      <c r="AA14" s="10"/>
      <c r="AB14" s="90"/>
      <c r="AC14" s="91"/>
      <c r="AD14" s="237"/>
      <c r="AE14" s="237"/>
      <c r="AF14" s="237"/>
      <c r="AG14" s="92"/>
      <c r="AH14" s="107"/>
      <c r="AI14" s="107"/>
      <c r="AJ14" s="146"/>
      <c r="AK14" s="25">
        <f>IF($C$16=0,0,VLOOKUP($H$21,$H$8:$M$17,2)/$C$16)</f>
        <v>0</v>
      </c>
      <c r="AL14" s="107"/>
      <c r="AM14" s="243">
        <f>IF($C$19=0,0,VLOOKUP($H$22,$H$18:$M$19,2)/$C$19)</f>
        <v>0</v>
      </c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BB14" s="107"/>
      <c r="BC14" s="905">
        <v>37301</v>
      </c>
      <c r="BD14" s="905">
        <v>4700</v>
      </c>
      <c r="BE14" s="378"/>
      <c r="BF14" s="378"/>
      <c r="BG14" s="378"/>
      <c r="BH14" s="107"/>
      <c r="BI14" s="107"/>
      <c r="BJ14" s="136"/>
      <c r="BM14">
        <f t="shared" si="10"/>
        <v>25800</v>
      </c>
      <c r="BN14">
        <f t="shared" si="10"/>
        <v>0</v>
      </c>
      <c r="BO14">
        <f t="shared" si="11"/>
        <v>25800</v>
      </c>
      <c r="BP14">
        <f t="shared" si="12"/>
        <v>2600</v>
      </c>
      <c r="BQ14">
        <f t="shared" si="13"/>
        <v>500</v>
      </c>
      <c r="BS14" s="905">
        <v>37301</v>
      </c>
      <c r="BT14" s="905">
        <v>4700</v>
      </c>
      <c r="BZ14" s="910">
        <f t="shared" si="14"/>
        <v>7</v>
      </c>
      <c r="CA14" s="913">
        <v>56300</v>
      </c>
      <c r="CB14" s="913"/>
      <c r="CC14" s="913"/>
      <c r="CD14" s="913">
        <f t="shared" si="7"/>
        <v>7</v>
      </c>
      <c r="CE14" s="914">
        <v>178000</v>
      </c>
      <c r="CH14" s="911">
        <f t="shared" si="8"/>
        <v>7</v>
      </c>
      <c r="CI14" s="912">
        <v>5400</v>
      </c>
      <c r="CQ14" s="32">
        <f t="shared" si="9"/>
        <v>26800</v>
      </c>
      <c r="CR14">
        <f t="shared" si="1"/>
        <v>804</v>
      </c>
      <c r="CS14" s="917">
        <f t="shared" si="2"/>
        <v>800</v>
      </c>
    </row>
    <row r="15" spans="2:97" ht="18.75" thickBot="1">
      <c r="B15" s="103" t="s">
        <v>393</v>
      </c>
      <c r="C15" s="904">
        <f>+WORKING!B15</f>
        <v>0</v>
      </c>
      <c r="D15" s="935">
        <f t="shared" si="3"/>
        <v>10</v>
      </c>
      <c r="E15" s="938">
        <f t="shared" si="4"/>
        <v>27600</v>
      </c>
      <c r="F15" s="1128">
        <f t="shared" si="5"/>
        <v>0</v>
      </c>
      <c r="G15" s="41">
        <f>+WORKING!F15</f>
        <v>0.17</v>
      </c>
      <c r="H15" s="439">
        <f>DATE(2021,10,1)</f>
        <v>44470</v>
      </c>
      <c r="I15" s="440">
        <f>+WORKING!H15</f>
        <v>25800</v>
      </c>
      <c r="J15" s="441"/>
      <c r="K15" s="1191">
        <f>+WORKING!J15</f>
        <v>4386</v>
      </c>
      <c r="L15" s="1191">
        <f>+WORKING!K15</f>
        <v>2600</v>
      </c>
      <c r="M15" s="1191">
        <f>+WORKING!L15</f>
        <v>500</v>
      </c>
      <c r="N15" s="442"/>
      <c r="O15" s="443">
        <f t="shared" si="6"/>
        <v>33286</v>
      </c>
      <c r="P15" s="467">
        <f>+WORKING!O15</f>
        <v>0</v>
      </c>
      <c r="Q15" s="467">
        <f>+WORKING!P15</f>
        <v>200</v>
      </c>
      <c r="R15" s="467">
        <f>+WORKING!Q15</f>
        <v>0</v>
      </c>
      <c r="S15" s="467">
        <f>+WORKING!R15</f>
        <v>0</v>
      </c>
      <c r="T15" s="467">
        <f>+WORKING!S15</f>
        <v>0</v>
      </c>
      <c r="U15" s="471"/>
      <c r="V15" s="469">
        <f t="shared" si="17"/>
        <v>5000</v>
      </c>
      <c r="W15" s="409">
        <f t="shared" si="15"/>
        <v>-31289</v>
      </c>
      <c r="X15" s="1424">
        <f t="shared" si="16"/>
        <v>10</v>
      </c>
      <c r="AB15" s="234"/>
      <c r="AC15" s="236"/>
      <c r="AD15" s="238"/>
      <c r="AE15" s="238"/>
      <c r="AF15" s="239"/>
      <c r="AG15" s="147"/>
      <c r="AH15" s="107"/>
      <c r="AI15" s="107"/>
      <c r="AJ15" s="146"/>
      <c r="AK15" s="25">
        <f>IF($C$16=0,0,VLOOKUP($H$21,$H$8:$M$17,3)/$C$16)</f>
        <v>0</v>
      </c>
      <c r="AL15" s="107"/>
      <c r="AM15" s="25">
        <f>IF($C$19=0,0,VLOOKUP($H$22,$H$18:$M$19,3)/$C$19)</f>
        <v>0</v>
      </c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905">
        <v>41101</v>
      </c>
      <c r="BD15" s="905">
        <v>5200</v>
      </c>
      <c r="BE15" s="378"/>
      <c r="BF15" s="378"/>
      <c r="BG15" s="378"/>
      <c r="BH15" s="107"/>
      <c r="BI15" s="107"/>
      <c r="BJ15" s="136"/>
      <c r="BM15">
        <f t="shared" si="10"/>
        <v>25800</v>
      </c>
      <c r="BN15">
        <f t="shared" si="10"/>
        <v>0</v>
      </c>
      <c r="BO15">
        <f t="shared" si="11"/>
        <v>25800</v>
      </c>
      <c r="BP15">
        <f t="shared" si="12"/>
        <v>2600</v>
      </c>
      <c r="BQ15">
        <f t="shared" si="13"/>
        <v>500</v>
      </c>
      <c r="BS15" s="905">
        <v>41101</v>
      </c>
      <c r="BT15" s="905">
        <v>5200</v>
      </c>
      <c r="BZ15" s="910">
        <f t="shared" si="14"/>
        <v>8</v>
      </c>
      <c r="CA15" s="913">
        <v>58200</v>
      </c>
      <c r="CB15" s="913"/>
      <c r="CC15" s="913"/>
      <c r="CD15" s="913">
        <f t="shared" si="7"/>
        <v>8</v>
      </c>
      <c r="CE15" s="914">
        <v>184300</v>
      </c>
      <c r="CH15" s="911">
        <f t="shared" si="8"/>
        <v>8</v>
      </c>
      <c r="CI15" s="912">
        <v>6100</v>
      </c>
      <c r="CQ15" s="32">
        <f t="shared" si="9"/>
        <v>27600</v>
      </c>
      <c r="CR15">
        <f t="shared" si="1"/>
        <v>828</v>
      </c>
      <c r="CS15" s="917">
        <f t="shared" si="2"/>
        <v>800</v>
      </c>
    </row>
    <row r="16" spans="2:97" ht="18.75" thickBot="1">
      <c r="B16" s="15"/>
      <c r="C16" s="904">
        <f>+WORKING!B16</f>
        <v>0</v>
      </c>
      <c r="D16" s="935">
        <f t="shared" si="3"/>
        <v>11</v>
      </c>
      <c r="E16" s="938">
        <f t="shared" si="4"/>
        <v>28400</v>
      </c>
      <c r="F16" s="1128">
        <f t="shared" si="5"/>
        <v>0</v>
      </c>
      <c r="G16" s="41">
        <f>+WORKING!F16</f>
        <v>0.17</v>
      </c>
      <c r="H16" s="439">
        <f>DATE(2021,11,1)</f>
        <v>44501</v>
      </c>
      <c r="I16" s="440">
        <f>+WORKING!H16</f>
        <v>25800</v>
      </c>
      <c r="J16" s="441"/>
      <c r="K16" s="1191">
        <f>+WORKING!J16</f>
        <v>4386</v>
      </c>
      <c r="L16" s="1191">
        <f>+WORKING!K16</f>
        <v>2600</v>
      </c>
      <c r="M16" s="1191">
        <f>+WORKING!L16</f>
        <v>500</v>
      </c>
      <c r="N16" s="442"/>
      <c r="O16" s="443">
        <f t="shared" si="6"/>
        <v>33286</v>
      </c>
      <c r="P16" s="467">
        <f>+WORKING!O16</f>
        <v>0</v>
      </c>
      <c r="Q16" s="467">
        <f>+WORKING!P16</f>
        <v>200</v>
      </c>
      <c r="R16" s="467">
        <f>+WORKING!Q16</f>
        <v>0</v>
      </c>
      <c r="S16" s="467">
        <f>+WORKING!R16</f>
        <v>0</v>
      </c>
      <c r="T16" s="467">
        <f>+WORKING!S16</f>
        <v>0</v>
      </c>
      <c r="U16" s="471"/>
      <c r="V16" s="469">
        <f t="shared" si="17"/>
        <v>5000</v>
      </c>
      <c r="W16" s="409">
        <f t="shared" si="15"/>
        <v>-36289</v>
      </c>
      <c r="X16" s="1425">
        <f t="shared" si="16"/>
        <v>11</v>
      </c>
      <c r="AB16" s="24" t="str">
        <f>IF($C$18=0," ",DATE(2018,$C$18,1))</f>
        <v> </v>
      </c>
      <c r="AC16" s="25"/>
      <c r="AD16" s="235"/>
      <c r="AE16" s="235"/>
      <c r="AF16" s="25">
        <f>IF($C19=0,0,VLOOKUP($AB16,$AB8:$AG8,6)/$C$19)</f>
        <v>0</v>
      </c>
      <c r="AG16" s="148">
        <v>0</v>
      </c>
      <c r="AH16" s="107"/>
      <c r="AI16" s="107"/>
      <c r="AJ16" s="146"/>
      <c r="AK16" s="25">
        <f>IF($C$16=0,0,VLOOKUP($H$21,$H$8:$M$17,4)/$C$16)</f>
        <v>0</v>
      </c>
      <c r="AL16" s="107"/>
      <c r="AM16" s="25">
        <f>IF($C$19=0,0,VLOOKUP($H$22,$H$18:$M$19,4)/$C$19)</f>
        <v>0</v>
      </c>
      <c r="AN16" s="107"/>
      <c r="AO16" s="386">
        <f>ROUND(W15/4,0)</f>
        <v>-7822</v>
      </c>
      <c r="AP16" s="387" t="e">
        <f>CEILING(AO16,100)</f>
        <v>#NUM!</v>
      </c>
      <c r="AQ16" s="76">
        <f>ROUNDDOWN(AO16,0.1)</f>
        <v>-7822</v>
      </c>
      <c r="AR16" s="107"/>
      <c r="AS16" s="107"/>
      <c r="AT16" s="125">
        <v>9</v>
      </c>
      <c r="AU16" s="149" t="s">
        <v>40</v>
      </c>
      <c r="AV16" s="107"/>
      <c r="AW16" s="107"/>
      <c r="AX16" s="107"/>
      <c r="AY16" s="150">
        <f>IF(V40&gt;150001,150000,IF(AND(V40&lt;150001),V40))</f>
        <v>0</v>
      </c>
      <c r="AZ16" s="107"/>
      <c r="BA16" s="107"/>
      <c r="BB16" s="107"/>
      <c r="BC16" s="905">
        <v>44501</v>
      </c>
      <c r="BD16" s="905">
        <v>5700</v>
      </c>
      <c r="BE16" s="378"/>
      <c r="BF16" s="378"/>
      <c r="BG16" s="378"/>
      <c r="BH16" s="107"/>
      <c r="BI16" s="107"/>
      <c r="BJ16" s="136"/>
      <c r="BM16">
        <f t="shared" si="10"/>
        <v>25800</v>
      </c>
      <c r="BN16">
        <f t="shared" si="10"/>
        <v>0</v>
      </c>
      <c r="BO16">
        <f t="shared" si="11"/>
        <v>25800</v>
      </c>
      <c r="BP16">
        <f t="shared" si="12"/>
        <v>2600</v>
      </c>
      <c r="BQ16">
        <f t="shared" si="13"/>
        <v>500</v>
      </c>
      <c r="BS16" s="905">
        <v>44501</v>
      </c>
      <c r="BT16" s="905">
        <v>5700</v>
      </c>
      <c r="BZ16" s="910">
        <f t="shared" si="14"/>
        <v>9</v>
      </c>
      <c r="CA16" s="913">
        <v>58500</v>
      </c>
      <c r="CB16" s="913"/>
      <c r="CC16" s="913"/>
      <c r="CD16" s="913">
        <f t="shared" si="7"/>
        <v>9</v>
      </c>
      <c r="CE16" s="914">
        <v>185800</v>
      </c>
      <c r="CH16" s="911">
        <f t="shared" si="8"/>
        <v>9</v>
      </c>
      <c r="CI16" s="912">
        <v>6200</v>
      </c>
      <c r="CQ16" s="32">
        <f t="shared" si="9"/>
        <v>28400</v>
      </c>
      <c r="CR16">
        <f t="shared" si="1"/>
        <v>852</v>
      </c>
      <c r="CS16" s="917">
        <f t="shared" si="2"/>
        <v>900</v>
      </c>
    </row>
    <row r="17" spans="2:97" ht="18.75" thickBot="1">
      <c r="B17" s="15"/>
      <c r="C17" s="904">
        <f>+WORKING!B17</f>
        <v>0</v>
      </c>
      <c r="D17" s="935">
        <f t="shared" si="3"/>
        <v>12</v>
      </c>
      <c r="E17" s="938">
        <f t="shared" si="4"/>
        <v>29300</v>
      </c>
      <c r="F17" s="1128">
        <f t="shared" si="5"/>
        <v>0</v>
      </c>
      <c r="G17" s="41">
        <f>+WORKING!F17</f>
        <v>0.17</v>
      </c>
      <c r="H17" s="439">
        <f>DATE(2021,12,1)</f>
        <v>44531</v>
      </c>
      <c r="I17" s="440">
        <f>+WORKING!H17</f>
        <v>25800</v>
      </c>
      <c r="J17" s="441"/>
      <c r="K17" s="1191">
        <f>+WORKING!J17</f>
        <v>4386</v>
      </c>
      <c r="L17" s="1191">
        <f>+WORKING!K17</f>
        <v>2600</v>
      </c>
      <c r="M17" s="1191">
        <f>+WORKING!L17</f>
        <v>500</v>
      </c>
      <c r="N17" s="442"/>
      <c r="O17" s="443">
        <f t="shared" si="6"/>
        <v>33286</v>
      </c>
      <c r="P17" s="467">
        <f>+WORKING!O17</f>
        <v>0</v>
      </c>
      <c r="Q17" s="467">
        <f>+WORKING!P17</f>
        <v>200</v>
      </c>
      <c r="R17" s="467">
        <f>+WORKING!Q17</f>
        <v>0</v>
      </c>
      <c r="S17" s="467">
        <f>+WORKING!R17</f>
        <v>0</v>
      </c>
      <c r="T17" s="467">
        <f>+WORKING!S17</f>
        <v>0</v>
      </c>
      <c r="U17" s="471"/>
      <c r="V17" s="469">
        <f t="shared" si="17"/>
        <v>5000</v>
      </c>
      <c r="W17" s="410">
        <f t="shared" si="15"/>
        <v>-41289</v>
      </c>
      <c r="X17" s="1424">
        <f t="shared" si="16"/>
        <v>12</v>
      </c>
      <c r="AB17" s="156">
        <v>1</v>
      </c>
      <c r="AC17" s="231">
        <f>DATE(2020,1,1)</f>
        <v>43831</v>
      </c>
      <c r="AD17" s="235"/>
      <c r="AE17" s="235"/>
      <c r="AF17" s="241">
        <f>DATE(2020,1,1)</f>
        <v>43831</v>
      </c>
      <c r="AG17" s="152">
        <f>ROUND(+AG8/2,0)</f>
        <v>375</v>
      </c>
      <c r="AH17" s="107"/>
      <c r="AI17" s="107"/>
      <c r="AJ17" s="146"/>
      <c r="AK17" s="25">
        <f>IF($C$16=0,0,VLOOKUP($H$21,$H$8:$M$17,5)/$C$16)</f>
        <v>0</v>
      </c>
      <c r="AL17" s="107"/>
      <c r="AM17" s="25">
        <f>IF($C$19=0,0,VLOOKUP($H$22,$H$18:$M$19,5)/$C$19)</f>
        <v>0</v>
      </c>
      <c r="AN17" s="107"/>
      <c r="AO17" s="388">
        <f>ROUND(W16/3,0)</f>
        <v>-12096</v>
      </c>
      <c r="AP17" s="387" t="e">
        <f>CEILING(AO17,100)</f>
        <v>#NUM!</v>
      </c>
      <c r="AQ17" s="107"/>
      <c r="AR17" s="107"/>
      <c r="AS17" s="107"/>
      <c r="AT17" s="153" t="s">
        <v>82</v>
      </c>
      <c r="AU17" s="133" t="s">
        <v>81</v>
      </c>
      <c r="AV17" s="133"/>
      <c r="AW17" s="133"/>
      <c r="AX17" s="134"/>
      <c r="AY17" s="154">
        <f>+V43</f>
        <v>0</v>
      </c>
      <c r="AZ17" s="107"/>
      <c r="BA17" s="107"/>
      <c r="BB17" s="107"/>
      <c r="BC17" s="905">
        <v>50201</v>
      </c>
      <c r="BD17" s="905">
        <v>6200</v>
      </c>
      <c r="BE17" s="378"/>
      <c r="BF17" s="378"/>
      <c r="BG17" s="378"/>
      <c r="BH17" s="107"/>
      <c r="BI17" s="107"/>
      <c r="BJ17" s="136"/>
      <c r="BM17">
        <f t="shared" si="10"/>
        <v>25800</v>
      </c>
      <c r="BN17">
        <f t="shared" si="10"/>
        <v>0</v>
      </c>
      <c r="BO17">
        <f t="shared" si="11"/>
        <v>25800</v>
      </c>
      <c r="BP17">
        <f t="shared" si="12"/>
        <v>2600</v>
      </c>
      <c r="BQ17">
        <f t="shared" si="13"/>
        <v>500</v>
      </c>
      <c r="BS17" s="905">
        <v>50201</v>
      </c>
      <c r="BT17" s="905">
        <v>6200</v>
      </c>
      <c r="BZ17" s="910">
        <f t="shared" si="14"/>
        <v>10</v>
      </c>
      <c r="CA17" s="913">
        <v>60600</v>
      </c>
      <c r="CB17" s="913"/>
      <c r="CC17" s="913"/>
      <c r="CD17" s="913">
        <f t="shared" si="7"/>
        <v>10</v>
      </c>
      <c r="CE17" s="914">
        <v>191800</v>
      </c>
      <c r="CH17" s="911">
        <f t="shared" si="8"/>
        <v>10</v>
      </c>
      <c r="CI17" s="912">
        <v>7000</v>
      </c>
      <c r="CQ17" s="32">
        <f t="shared" si="9"/>
        <v>29300</v>
      </c>
      <c r="CR17">
        <f t="shared" si="1"/>
        <v>879</v>
      </c>
      <c r="CS17" s="917">
        <f t="shared" si="2"/>
        <v>900</v>
      </c>
    </row>
    <row r="18" spans="2:97" ht="18.75" thickBot="1">
      <c r="B18" s="103" t="s">
        <v>399</v>
      </c>
      <c r="C18" s="904">
        <f>+WORKING!B18</f>
        <v>0</v>
      </c>
      <c r="D18" s="935">
        <f t="shared" si="3"/>
        <v>13</v>
      </c>
      <c r="E18" s="938">
        <f t="shared" si="4"/>
        <v>30200</v>
      </c>
      <c r="F18" s="1128">
        <f t="shared" si="5"/>
        <v>0</v>
      </c>
      <c r="G18" s="41">
        <f>+WORKING!F18</f>
        <v>0.31</v>
      </c>
      <c r="H18" s="439">
        <f>DATE(2022,1,1)</f>
        <v>44562</v>
      </c>
      <c r="I18" s="440">
        <f>+WORKING!H18</f>
        <v>25800</v>
      </c>
      <c r="J18" s="441"/>
      <c r="K18" s="1191">
        <f>+WORKING!J18</f>
        <v>7998</v>
      </c>
      <c r="L18" s="1191">
        <f>+WORKING!K18</f>
        <v>2600</v>
      </c>
      <c r="M18" s="1191">
        <f>+WORKING!L18</f>
        <v>500</v>
      </c>
      <c r="N18" s="442"/>
      <c r="O18" s="443">
        <f t="shared" si="6"/>
        <v>36898</v>
      </c>
      <c r="P18" s="467">
        <f>+WORKING!O18</f>
        <v>0</v>
      </c>
      <c r="Q18" s="467">
        <f>+WORKING!P18</f>
        <v>200</v>
      </c>
      <c r="R18" s="467">
        <f>+WORKING!Q18</f>
        <v>0</v>
      </c>
      <c r="S18" s="467">
        <f>+WORKING!R18</f>
        <v>0</v>
      </c>
      <c r="T18" s="467">
        <f>+WORKING!S18</f>
        <v>0</v>
      </c>
      <c r="U18" s="471">
        <f>+WORKING!T18</f>
        <v>1250</v>
      </c>
      <c r="V18" s="469">
        <f t="shared" si="17"/>
        <v>5000</v>
      </c>
      <c r="W18" s="410">
        <f t="shared" si="15"/>
        <v>-46289</v>
      </c>
      <c r="X18" s="1426">
        <v>1</v>
      </c>
      <c r="AB18" s="156">
        <v>2</v>
      </c>
      <c r="AC18" s="231">
        <f>DATE(2020,2,1)</f>
        <v>43862</v>
      </c>
      <c r="AD18" s="235"/>
      <c r="AE18" s="235"/>
      <c r="AF18" s="241">
        <f>DATE(2020,2,1)</f>
        <v>43862</v>
      </c>
      <c r="AG18" s="152">
        <f>ROUND(+AG9/2,0)</f>
        <v>375</v>
      </c>
      <c r="AH18" s="107"/>
      <c r="AI18" s="107"/>
      <c r="AJ18" s="146"/>
      <c r="AK18" s="25">
        <f>IF($C$16=0,0,VLOOKUP($H$21,$H$8:$M$17,6)/$C$16)</f>
        <v>0</v>
      </c>
      <c r="AL18" s="107"/>
      <c r="AM18" s="243">
        <f>IF($C$19=0,0,VLOOKUP($H$22,$H$18:$M$19,6)/$C$19)</f>
        <v>0</v>
      </c>
      <c r="AN18" s="107"/>
      <c r="AO18" s="388">
        <f>ROUND(W17/2,0)</f>
        <v>-20645</v>
      </c>
      <c r="AP18" s="387" t="e">
        <f>CEILING(AO18,100)</f>
        <v>#NUM!</v>
      </c>
      <c r="AQ18" s="107"/>
      <c r="AR18" s="107"/>
      <c r="AS18" s="107"/>
      <c r="AT18" s="125"/>
      <c r="AU18" s="149" t="s">
        <v>3</v>
      </c>
      <c r="AV18" s="149"/>
      <c r="AW18" s="149"/>
      <c r="AX18" s="107"/>
      <c r="AY18" s="155">
        <f>+AY16+AY17</f>
        <v>0</v>
      </c>
      <c r="AZ18" s="107"/>
      <c r="BA18" s="107"/>
      <c r="BB18" s="107"/>
      <c r="BC18" s="905">
        <v>51601</v>
      </c>
      <c r="BD18" s="905">
        <v>6800</v>
      </c>
      <c r="BE18" s="378"/>
      <c r="BF18" s="378"/>
      <c r="BG18" s="378"/>
      <c r="BH18" s="107"/>
      <c r="BI18" s="107"/>
      <c r="BJ18" s="136"/>
      <c r="BM18">
        <f t="shared" si="10"/>
        <v>25800</v>
      </c>
      <c r="BN18">
        <f t="shared" si="10"/>
        <v>0</v>
      </c>
      <c r="BO18">
        <f t="shared" si="11"/>
        <v>25800</v>
      </c>
      <c r="BP18">
        <f t="shared" si="12"/>
        <v>2600</v>
      </c>
      <c r="BQ18">
        <f t="shared" si="13"/>
        <v>500</v>
      </c>
      <c r="BS18" s="905">
        <v>51601</v>
      </c>
      <c r="BT18" s="905">
        <v>6800</v>
      </c>
      <c r="BZ18" s="910">
        <f t="shared" si="14"/>
        <v>11</v>
      </c>
      <c r="CA18" s="913">
        <v>125200</v>
      </c>
      <c r="CB18" s="913"/>
      <c r="CC18" s="913"/>
      <c r="CD18" s="913">
        <f t="shared" si="7"/>
        <v>11</v>
      </c>
      <c r="CE18" s="914">
        <v>219800</v>
      </c>
      <c r="CH18" s="911">
        <f t="shared" si="8"/>
        <v>11</v>
      </c>
      <c r="CI18" s="912">
        <v>8700</v>
      </c>
      <c r="CQ18" s="32">
        <f t="shared" si="9"/>
        <v>30200</v>
      </c>
      <c r="CR18">
        <f t="shared" si="1"/>
        <v>906</v>
      </c>
      <c r="CS18" s="917">
        <f t="shared" si="2"/>
        <v>900</v>
      </c>
    </row>
    <row r="19" spans="2:97" ht="18">
      <c r="B19" s="15"/>
      <c r="C19" s="904">
        <f>+WORKING!B19</f>
        <v>0</v>
      </c>
      <c r="D19" s="935">
        <f t="shared" si="3"/>
        <v>14</v>
      </c>
      <c r="E19" s="938">
        <f t="shared" si="4"/>
        <v>31100</v>
      </c>
      <c r="F19" s="1128">
        <f t="shared" si="5"/>
        <v>0</v>
      </c>
      <c r="G19" s="41">
        <f>+WORKING!F19</f>
        <v>0.31</v>
      </c>
      <c r="H19" s="439">
        <f>DATE(2022,2,1)</f>
        <v>44593</v>
      </c>
      <c r="I19" s="440">
        <f>+WORKING!H19</f>
        <v>25800</v>
      </c>
      <c r="J19" s="441"/>
      <c r="K19" s="1191">
        <f>+WORKING!J19</f>
        <v>7998</v>
      </c>
      <c r="L19" s="1191">
        <f>+WORKING!K19</f>
        <v>2600</v>
      </c>
      <c r="M19" s="1191">
        <f>+WORKING!L19</f>
        <v>500</v>
      </c>
      <c r="N19" s="442"/>
      <c r="O19" s="443">
        <f t="shared" si="6"/>
        <v>36898</v>
      </c>
      <c r="P19" s="467">
        <f>+WORKING!O19</f>
        <v>0</v>
      </c>
      <c r="Q19" s="467">
        <f>+WORKING!P19</f>
        <v>200</v>
      </c>
      <c r="R19" s="467">
        <f>+WORKING!Q19</f>
        <v>0</v>
      </c>
      <c r="S19" s="467">
        <f>+WORKING!R19</f>
        <v>0</v>
      </c>
      <c r="T19" s="467">
        <f>+WORKING!S19</f>
        <v>0</v>
      </c>
      <c r="U19" s="471"/>
      <c r="V19" s="1193">
        <f>+W18</f>
        <v>-46289</v>
      </c>
      <c r="W19" s="410">
        <f t="shared" si="15"/>
        <v>0</v>
      </c>
      <c r="X19" s="1426">
        <f t="shared" si="16"/>
        <v>2</v>
      </c>
      <c r="AB19" s="156">
        <v>3</v>
      </c>
      <c r="AC19" s="232">
        <v>0</v>
      </c>
      <c r="AD19" s="235"/>
      <c r="AE19" s="235"/>
      <c r="AF19" s="240"/>
      <c r="AG19" s="152"/>
      <c r="AH19" s="107"/>
      <c r="AI19" s="107"/>
      <c r="AJ19" s="146"/>
      <c r="AK19" s="242">
        <f>SUM(AK14:AK18)</f>
        <v>0</v>
      </c>
      <c r="AL19" s="107"/>
      <c r="AM19" s="242">
        <f>SUM(AM14:AM18)</f>
        <v>0</v>
      </c>
      <c r="AN19" s="107"/>
      <c r="AO19" s="388">
        <f>ROUND(W18/1,0)</f>
        <v>-46289</v>
      </c>
      <c r="AP19" s="387" t="e">
        <f>CEILING(AO19,100)</f>
        <v>#NUM!</v>
      </c>
      <c r="AQ19" s="107"/>
      <c r="AR19" s="107"/>
      <c r="AS19" s="107"/>
      <c r="AT19" s="125">
        <v>10</v>
      </c>
      <c r="AU19" s="149" t="e">
        <f>+#REF!</f>
        <v>#REF!</v>
      </c>
      <c r="AV19" s="149"/>
      <c r="AW19" s="149"/>
      <c r="AX19" s="149"/>
      <c r="AY19" s="158">
        <f>+R33</f>
        <v>417510</v>
      </c>
      <c r="AZ19" s="107"/>
      <c r="BA19" s="107"/>
      <c r="BB19" s="107"/>
      <c r="BC19" s="905">
        <v>54001</v>
      </c>
      <c r="BD19" s="905">
        <v>7300</v>
      </c>
      <c r="BE19" s="378"/>
      <c r="BF19" s="378"/>
      <c r="BG19" s="378"/>
      <c r="BH19" s="107"/>
      <c r="BI19" s="107"/>
      <c r="BJ19" s="136"/>
      <c r="BM19">
        <f t="shared" si="10"/>
        <v>25800</v>
      </c>
      <c r="BN19">
        <f t="shared" si="10"/>
        <v>0</v>
      </c>
      <c r="BO19">
        <f t="shared" si="11"/>
        <v>25800</v>
      </c>
      <c r="BP19">
        <f t="shared" si="12"/>
        <v>2600</v>
      </c>
      <c r="BQ19">
        <f t="shared" si="13"/>
        <v>500</v>
      </c>
      <c r="BS19" s="905">
        <v>54001</v>
      </c>
      <c r="BT19" s="905">
        <v>7300</v>
      </c>
      <c r="BZ19" s="910">
        <f t="shared" si="14"/>
        <v>12</v>
      </c>
      <c r="CA19" s="913">
        <v>36700</v>
      </c>
      <c r="CB19" s="913"/>
      <c r="CC19" s="913"/>
      <c r="CD19" s="913">
        <f t="shared" si="7"/>
        <v>12</v>
      </c>
      <c r="CE19" s="914">
        <v>116200</v>
      </c>
      <c r="CH19" s="911">
        <f t="shared" si="8"/>
        <v>12</v>
      </c>
      <c r="CI19" s="912">
        <v>4400</v>
      </c>
      <c r="CQ19" s="32">
        <f t="shared" si="9"/>
        <v>31100</v>
      </c>
      <c r="CR19">
        <f t="shared" si="1"/>
        <v>933</v>
      </c>
      <c r="CS19" s="917">
        <f t="shared" si="2"/>
        <v>900</v>
      </c>
    </row>
    <row r="20" spans="2:97" ht="18">
      <c r="B20" s="500" t="s">
        <v>242</v>
      </c>
      <c r="C20" s="904" t="str">
        <f>+WORKING!B20</f>
        <v>Y</v>
      </c>
      <c r="D20" s="935">
        <f t="shared" si="3"/>
        <v>15</v>
      </c>
      <c r="E20" s="938">
        <f t="shared" si="4"/>
        <v>32000</v>
      </c>
      <c r="F20" s="1128">
        <f t="shared" si="5"/>
        <v>0</v>
      </c>
      <c r="G20" s="38"/>
      <c r="H20" s="444" t="s">
        <v>29</v>
      </c>
      <c r="I20" s="445"/>
      <c r="J20" s="441"/>
      <c r="K20" s="441"/>
      <c r="L20" s="441"/>
      <c r="M20" s="441"/>
      <c r="N20" s="442"/>
      <c r="O20" s="443"/>
      <c r="P20" s="470"/>
      <c r="Q20" s="471"/>
      <c r="R20" s="471"/>
      <c r="S20" s="471"/>
      <c r="T20" s="471"/>
      <c r="U20" s="471"/>
      <c r="V20" s="472"/>
      <c r="W20" s="409"/>
      <c r="X20" s="1133"/>
      <c r="AB20" s="156">
        <v>4</v>
      </c>
      <c r="AC20" s="232">
        <v>0</v>
      </c>
      <c r="AD20" s="235"/>
      <c r="AE20" s="235"/>
      <c r="AF20" s="233"/>
      <c r="AG20" s="159"/>
      <c r="AH20" s="107"/>
      <c r="AI20" s="107"/>
      <c r="AJ20" s="146"/>
      <c r="AK20" s="107"/>
      <c r="AL20" s="107"/>
      <c r="AM20" s="107"/>
      <c r="AN20" s="107"/>
      <c r="AO20" s="382">
        <v>0</v>
      </c>
      <c r="AP20" s="382">
        <v>0</v>
      </c>
      <c r="AQ20" s="107"/>
      <c r="AR20" s="107"/>
      <c r="AS20" s="107"/>
      <c r="AT20" s="125">
        <v>11</v>
      </c>
      <c r="AU20" s="149" t="str">
        <f>+AY41</f>
        <v>UPTO RS.250000/= (   NIL  )</v>
      </c>
      <c r="AV20" s="149"/>
      <c r="AW20" s="149"/>
      <c r="AX20" s="149"/>
      <c r="AY20" s="160">
        <f>+AR6</f>
        <v>250000</v>
      </c>
      <c r="AZ20" s="107"/>
      <c r="BA20" s="107"/>
      <c r="BB20" s="107"/>
      <c r="BC20" s="905">
        <v>55501</v>
      </c>
      <c r="BD20" s="905">
        <v>7500</v>
      </c>
      <c r="BE20" s="378"/>
      <c r="BF20" s="378"/>
      <c r="BG20" s="378"/>
      <c r="BH20" s="107"/>
      <c r="BI20" s="107"/>
      <c r="BJ20" s="136"/>
      <c r="BS20" s="905">
        <v>55501</v>
      </c>
      <c r="BT20" s="905">
        <v>7500</v>
      </c>
      <c r="BZ20" s="910">
        <f t="shared" si="14"/>
        <v>13</v>
      </c>
      <c r="CA20" s="913">
        <v>21300</v>
      </c>
      <c r="CB20" s="913"/>
      <c r="CC20" s="913"/>
      <c r="CD20" s="913">
        <f t="shared" si="7"/>
        <v>13</v>
      </c>
      <c r="CE20" s="914">
        <v>67800</v>
      </c>
      <c r="CH20" s="911">
        <f t="shared" si="8"/>
        <v>13</v>
      </c>
      <c r="CI20" s="912">
        <v>2900</v>
      </c>
      <c r="CQ20" s="32">
        <f t="shared" si="9"/>
        <v>32000</v>
      </c>
      <c r="CR20">
        <f t="shared" si="1"/>
        <v>960</v>
      </c>
      <c r="CS20" s="917">
        <f t="shared" si="2"/>
        <v>1000</v>
      </c>
    </row>
    <row r="21" spans="2:97" ht="18.75" thickBot="1">
      <c r="B21" s="921" t="s">
        <v>282</v>
      </c>
      <c r="C21" s="904" t="str">
        <f>+WORKING!B21</f>
        <v>Y</v>
      </c>
      <c r="D21" s="935">
        <f t="shared" si="3"/>
        <v>16</v>
      </c>
      <c r="E21" s="938">
        <f t="shared" si="4"/>
        <v>33000</v>
      </c>
      <c r="F21" s="1128">
        <f t="shared" si="5"/>
        <v>0</v>
      </c>
      <c r="G21" s="38"/>
      <c r="H21" s="446" t="str">
        <f>IF($C$15=0," ",DATE(2021,$C$15,1))</f>
        <v> </v>
      </c>
      <c r="I21" s="447"/>
      <c r="J21" s="448"/>
      <c r="K21" s="448"/>
      <c r="L21" s="448"/>
      <c r="M21" s="448"/>
      <c r="N21" s="449"/>
      <c r="O21" s="450">
        <f>+AK19</f>
        <v>0</v>
      </c>
      <c r="P21" s="470"/>
      <c r="Q21" s="471"/>
      <c r="R21" s="471"/>
      <c r="S21" s="471"/>
      <c r="T21" s="471"/>
      <c r="U21" s="471"/>
      <c r="V21" s="472"/>
      <c r="W21" s="411"/>
      <c r="X21" s="1134"/>
      <c r="AB21" s="156">
        <v>5</v>
      </c>
      <c r="AC21" s="232">
        <v>0</v>
      </c>
      <c r="AD21" s="235"/>
      <c r="AE21" s="235"/>
      <c r="AF21" s="233" t="s">
        <v>70</v>
      </c>
      <c r="AG21" s="159">
        <v>0</v>
      </c>
      <c r="AH21" s="107"/>
      <c r="AI21" s="107"/>
      <c r="AJ21" s="146"/>
      <c r="AK21" s="107"/>
      <c r="AL21" s="107"/>
      <c r="AM21" s="107"/>
      <c r="AN21" s="107"/>
      <c r="AO21" s="78">
        <v>1</v>
      </c>
      <c r="AP21" s="78">
        <f>V19</f>
        <v>-46289</v>
      </c>
      <c r="AQ21" s="107"/>
      <c r="AR21" s="107"/>
      <c r="AS21" s="107"/>
      <c r="AT21" s="149"/>
      <c r="AU21" s="149"/>
      <c r="AV21" s="149"/>
      <c r="AW21" s="149"/>
      <c r="AX21" s="149"/>
      <c r="AY21" s="155">
        <f>+AY19-AY20</f>
        <v>167510</v>
      </c>
      <c r="AZ21" s="107"/>
      <c r="BA21" s="107"/>
      <c r="BB21" s="107"/>
      <c r="BC21" s="905">
        <v>56901</v>
      </c>
      <c r="BD21" s="905">
        <v>7800</v>
      </c>
      <c r="BE21" s="378"/>
      <c r="BF21" s="378"/>
      <c r="BG21" s="378"/>
      <c r="BH21" s="107"/>
      <c r="BI21" s="107"/>
      <c r="BJ21" s="136"/>
      <c r="BS21" s="905">
        <v>56901</v>
      </c>
      <c r="BT21" s="905">
        <v>7800</v>
      </c>
      <c r="BZ21" s="910">
        <f t="shared" si="14"/>
        <v>14</v>
      </c>
      <c r="CA21" s="913">
        <v>127400</v>
      </c>
      <c r="CB21" s="913"/>
      <c r="CC21" s="913"/>
      <c r="CD21" s="913">
        <f t="shared" si="7"/>
        <v>14</v>
      </c>
      <c r="CE21" s="914">
        <v>223300</v>
      </c>
      <c r="CH21" s="911">
        <f t="shared" si="8"/>
        <v>14</v>
      </c>
      <c r="CI21" s="912">
        <v>9500</v>
      </c>
      <c r="CQ21" s="32">
        <f t="shared" si="9"/>
        <v>33000</v>
      </c>
      <c r="CR21">
        <f t="shared" si="1"/>
        <v>990</v>
      </c>
      <c r="CS21" s="917">
        <f t="shared" si="2"/>
        <v>1000</v>
      </c>
    </row>
    <row r="22" spans="2:97" ht="20.25" thickBot="1">
      <c r="B22" s="922" t="s">
        <v>64</v>
      </c>
      <c r="C22" s="23"/>
      <c r="D22" s="935">
        <f t="shared" si="3"/>
        <v>17</v>
      </c>
      <c r="E22" s="938">
        <f t="shared" si="4"/>
        <v>34000</v>
      </c>
      <c r="F22" s="1128">
        <f t="shared" si="5"/>
        <v>0</v>
      </c>
      <c r="G22" s="39"/>
      <c r="H22" s="451" t="str">
        <f>IF($C$18=0," ",DATE(20221,$C$18,1))</f>
        <v> </v>
      </c>
      <c r="I22" s="452"/>
      <c r="J22" s="453"/>
      <c r="K22" s="453"/>
      <c r="L22" s="453"/>
      <c r="M22" s="453"/>
      <c r="N22" s="454"/>
      <c r="O22" s="455">
        <f>+AM19</f>
        <v>0</v>
      </c>
      <c r="P22" s="473"/>
      <c r="Q22" s="474"/>
      <c r="R22" s="474"/>
      <c r="S22" s="474"/>
      <c r="T22" s="474"/>
      <c r="U22" s="474"/>
      <c r="V22" s="475"/>
      <c r="W22" s="412"/>
      <c r="X22" s="1135"/>
      <c r="AB22" s="156">
        <v>6</v>
      </c>
      <c r="AC22" s="232">
        <v>0</v>
      </c>
      <c r="AD22" s="235"/>
      <c r="AE22" s="235"/>
      <c r="AF22" s="233" t="s">
        <v>72</v>
      </c>
      <c r="AG22" s="162">
        <v>16800</v>
      </c>
      <c r="AH22" s="107"/>
      <c r="AI22" s="107"/>
      <c r="AJ22" s="146"/>
      <c r="AK22" s="107"/>
      <c r="AL22" s="107"/>
      <c r="AM22" s="107"/>
      <c r="AN22" s="107"/>
      <c r="AO22" s="78">
        <v>2</v>
      </c>
      <c r="AP22" s="389">
        <f>+V18+V19</f>
        <v>-41289</v>
      </c>
      <c r="AQ22" s="107"/>
      <c r="AR22" s="107"/>
      <c r="AS22" s="107"/>
      <c r="AT22" s="107"/>
      <c r="AU22" s="1712" t="str">
        <f>VLOOKUP(AP6,AX44:AY45,2)</f>
        <v>250001  TO  500000         5%</v>
      </c>
      <c r="AV22" s="1712"/>
      <c r="AW22" s="1712"/>
      <c r="AX22" s="163">
        <f>VLOOKUP(AP6,AX47:AY48,2)</f>
        <v>167510</v>
      </c>
      <c r="AY22" s="164">
        <f>ROUND(+AX22*10%,0)</f>
        <v>16751</v>
      </c>
      <c r="AZ22" s="107"/>
      <c r="BA22" s="107"/>
      <c r="BB22" s="107"/>
      <c r="BC22" s="906">
        <v>64201</v>
      </c>
      <c r="BD22" s="905">
        <v>8300</v>
      </c>
      <c r="BE22" s="378"/>
      <c r="BF22" s="378"/>
      <c r="BG22" s="378"/>
      <c r="BH22" s="107"/>
      <c r="BI22" s="107"/>
      <c r="BJ22" s="136"/>
      <c r="BS22" s="906">
        <v>64201</v>
      </c>
      <c r="BT22" s="905">
        <v>8300</v>
      </c>
      <c r="BZ22" s="910">
        <f t="shared" si="14"/>
        <v>15</v>
      </c>
      <c r="CA22" s="913">
        <v>16200</v>
      </c>
      <c r="CB22" s="913"/>
      <c r="CC22" s="913"/>
      <c r="CD22" s="913">
        <f t="shared" si="7"/>
        <v>15</v>
      </c>
      <c r="CE22" s="913">
        <v>51500</v>
      </c>
      <c r="CH22" s="911">
        <f t="shared" si="8"/>
        <v>15</v>
      </c>
      <c r="CI22" s="911">
        <v>1400</v>
      </c>
      <c r="CQ22" s="32">
        <f t="shared" si="9"/>
        <v>34000</v>
      </c>
      <c r="CR22">
        <f t="shared" si="1"/>
        <v>1020</v>
      </c>
      <c r="CS22" s="917">
        <f t="shared" si="2"/>
        <v>1000</v>
      </c>
    </row>
    <row r="23" spans="2:97" ht="18.75" thickBot="1">
      <c r="B23" s="923">
        <f>+C5</f>
        <v>25000</v>
      </c>
      <c r="C23" s="23"/>
      <c r="D23" s="935">
        <f t="shared" si="3"/>
        <v>18</v>
      </c>
      <c r="E23" s="938">
        <f t="shared" si="4"/>
        <v>35000</v>
      </c>
      <c r="F23" s="1128">
        <f t="shared" si="5"/>
        <v>0</v>
      </c>
      <c r="G23" s="40"/>
      <c r="H23" s="456" t="s">
        <v>3</v>
      </c>
      <c r="I23" s="457">
        <f>SUM(I8:I19)</f>
        <v>308800</v>
      </c>
      <c r="J23" s="458">
        <f>SUM(J8:J19)</f>
        <v>0</v>
      </c>
      <c r="K23" s="458">
        <f>SUM(K8:K19)</f>
        <v>59720</v>
      </c>
      <c r="L23" s="458">
        <f>SUM(L8:L19)</f>
        <v>31200</v>
      </c>
      <c r="M23" s="458">
        <f>SUM(M8:M19)</f>
        <v>6000</v>
      </c>
      <c r="N23" s="459"/>
      <c r="O23" s="460">
        <f aca="true" t="shared" si="18" ref="O23:V23">SUM(O8:O22)</f>
        <v>405720</v>
      </c>
      <c r="P23" s="476">
        <f t="shared" si="18"/>
        <v>0</v>
      </c>
      <c r="Q23" s="477">
        <f t="shared" si="18"/>
        <v>2400</v>
      </c>
      <c r="R23" s="477">
        <f t="shared" si="18"/>
        <v>0</v>
      </c>
      <c r="S23" s="477">
        <f t="shared" si="18"/>
        <v>0</v>
      </c>
      <c r="T23" s="477">
        <f t="shared" si="18"/>
        <v>0</v>
      </c>
      <c r="U23" s="477">
        <f t="shared" si="18"/>
        <v>2500</v>
      </c>
      <c r="V23" s="478">
        <f t="shared" si="18"/>
        <v>8711</v>
      </c>
      <c r="W23" s="419">
        <f>W7</f>
        <v>8711</v>
      </c>
      <c r="X23" s="1136"/>
      <c r="AB23" s="156">
        <v>7</v>
      </c>
      <c r="AC23" s="232">
        <v>0</v>
      </c>
      <c r="AD23" s="235"/>
      <c r="AE23" s="235"/>
      <c r="AF23" s="233" t="str">
        <f>+E3</f>
        <v>S</v>
      </c>
      <c r="AG23" s="162">
        <f>VLOOKUP(+AF23,AF21:AG22,2)</f>
        <v>16800</v>
      </c>
      <c r="AH23" s="107"/>
      <c r="AI23" s="107"/>
      <c r="AJ23" s="137"/>
      <c r="AK23" s="138"/>
      <c r="AL23" s="138"/>
      <c r="AM23" s="138"/>
      <c r="AN23" s="138"/>
      <c r="AO23" s="78">
        <v>3</v>
      </c>
      <c r="AP23" s="389">
        <f>+V17+V18+V19</f>
        <v>-36289</v>
      </c>
      <c r="AQ23" s="138"/>
      <c r="AR23" s="138"/>
      <c r="AS23" s="138"/>
      <c r="AT23" s="138"/>
      <c r="AU23" s="149" t="s">
        <v>403</v>
      </c>
      <c r="AV23" s="149"/>
      <c r="AW23" s="149"/>
      <c r="AX23" s="165">
        <f>IF(AY21&gt;500000,BD42,IF(AY21&lt;1000000,BD41,0))</f>
        <v>0</v>
      </c>
      <c r="AY23" s="164">
        <f>ROUND(+AX23*20%,0)</f>
        <v>0</v>
      </c>
      <c r="AZ23" s="138"/>
      <c r="BA23" s="138"/>
      <c r="BB23" s="138"/>
      <c r="BC23" s="906">
        <v>64201</v>
      </c>
      <c r="BD23" s="906">
        <v>8300</v>
      </c>
      <c r="BE23" s="378"/>
      <c r="BF23" s="378"/>
      <c r="BG23" s="378"/>
      <c r="BH23" s="138"/>
      <c r="BI23" s="138"/>
      <c r="BJ23" s="127"/>
      <c r="BS23" s="906">
        <v>64201</v>
      </c>
      <c r="BT23" s="906">
        <v>8300</v>
      </c>
      <c r="BZ23" s="910">
        <f t="shared" si="14"/>
        <v>16</v>
      </c>
      <c r="CA23" s="913">
        <v>4100</v>
      </c>
      <c r="CB23" s="913"/>
      <c r="CC23" s="913"/>
      <c r="CD23" s="913">
        <f>+BZ23</f>
        <v>16</v>
      </c>
      <c r="CE23" s="914">
        <v>12500</v>
      </c>
      <c r="CH23" s="911">
        <f>+CD23</f>
        <v>16</v>
      </c>
      <c r="CI23" s="911">
        <v>300</v>
      </c>
      <c r="CQ23" s="32">
        <f t="shared" si="9"/>
        <v>35000</v>
      </c>
      <c r="CR23">
        <f t="shared" si="1"/>
        <v>1050</v>
      </c>
      <c r="CS23" s="917">
        <f t="shared" si="2"/>
        <v>1100</v>
      </c>
    </row>
    <row r="24" spans="2:97" ht="18">
      <c r="B24" s="923">
        <f>+C4</f>
        <v>4</v>
      </c>
      <c r="C24" s="23"/>
      <c r="D24" s="935">
        <f t="shared" si="3"/>
        <v>19</v>
      </c>
      <c r="E24" s="938">
        <f t="shared" si="4"/>
        <v>36100</v>
      </c>
      <c r="F24" s="1128">
        <f t="shared" si="5"/>
        <v>0</v>
      </c>
      <c r="H24" s="26" t="s">
        <v>30</v>
      </c>
      <c r="I24" s="7"/>
      <c r="J24" s="7"/>
      <c r="K24" s="7"/>
      <c r="L24" s="7"/>
      <c r="M24" s="7"/>
      <c r="N24" s="185"/>
      <c r="O24" s="186">
        <f>+WORKING!N24</f>
        <v>8400</v>
      </c>
      <c r="P24" s="1933" t="str">
        <f>+WORKING!O24</f>
        <v>RETIRED STAFF FROM  1.3.2021 TO 28.2.2022</v>
      </c>
      <c r="Q24" s="1934"/>
      <c r="R24" s="1934"/>
      <c r="S24" s="1934"/>
      <c r="T24" s="1934"/>
      <c r="U24" s="1934"/>
      <c r="V24" s="1935"/>
      <c r="AB24" s="156">
        <v>8</v>
      </c>
      <c r="AC24" s="232">
        <v>0</v>
      </c>
      <c r="AD24" s="235"/>
      <c r="AE24" s="235"/>
      <c r="AF24" s="151"/>
      <c r="AG24" s="157"/>
      <c r="AH24" s="107"/>
      <c r="AI24" s="107"/>
      <c r="AJ24" s="146"/>
      <c r="AK24" s="107"/>
      <c r="AL24" s="107"/>
      <c r="AM24" s="107"/>
      <c r="AN24" s="107"/>
      <c r="AO24" s="78">
        <v>4</v>
      </c>
      <c r="AP24" s="389">
        <f>V16+V17+V18+V19</f>
        <v>-31289</v>
      </c>
      <c r="AQ24" s="107"/>
      <c r="AR24" s="107"/>
      <c r="AS24" s="107"/>
      <c r="AT24" s="107"/>
      <c r="AU24" s="149" t="s">
        <v>226</v>
      </c>
      <c r="AV24" s="149"/>
      <c r="AW24" s="149"/>
      <c r="AX24" s="166">
        <f>IF(AY21&gt;1000000,+BA26-BB26,IF(AY21&lt;1000000,+AY21-AX22-AX23,0))</f>
        <v>0</v>
      </c>
      <c r="AY24" s="167">
        <f>ROUND(+AX24*30%,0)</f>
        <v>0</v>
      </c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36"/>
      <c r="CQ24" s="32">
        <f t="shared" si="9"/>
        <v>36100</v>
      </c>
      <c r="CR24">
        <f t="shared" si="1"/>
        <v>1083</v>
      </c>
      <c r="CS24" s="917">
        <f t="shared" si="2"/>
        <v>1100</v>
      </c>
    </row>
    <row r="25" spans="2:97" ht="18.75" thickBot="1">
      <c r="B25" s="923">
        <f>+B23</f>
        <v>25000</v>
      </c>
      <c r="C25" s="23"/>
      <c r="D25" s="935">
        <f t="shared" si="3"/>
        <v>20</v>
      </c>
      <c r="E25" s="938">
        <f t="shared" si="4"/>
        <v>37200</v>
      </c>
      <c r="F25" s="1128">
        <f t="shared" si="5"/>
        <v>0</v>
      </c>
      <c r="H25" s="26" t="s">
        <v>102</v>
      </c>
      <c r="I25" s="7"/>
      <c r="J25" s="7"/>
      <c r="K25" s="7"/>
      <c r="L25" s="7"/>
      <c r="M25" s="7"/>
      <c r="N25" s="185"/>
      <c r="O25" s="186">
        <f>+WORKING!N25</f>
        <v>0</v>
      </c>
      <c r="P25" s="420"/>
      <c r="Q25" s="422" t="s">
        <v>239</v>
      </c>
      <c r="R25" s="422"/>
      <c r="S25" s="422"/>
      <c r="T25" s="422">
        <f>+WORKING!S25</f>
        <v>0</v>
      </c>
      <c r="U25" s="27"/>
      <c r="V25" s="28"/>
      <c r="AB25" s="156">
        <v>9</v>
      </c>
      <c r="AC25" s="232">
        <v>0</v>
      </c>
      <c r="AD25" s="235"/>
      <c r="AE25" s="235"/>
      <c r="AF25" s="151"/>
      <c r="AG25" s="157"/>
      <c r="AH25" s="107"/>
      <c r="AI25" s="107"/>
      <c r="AJ25" s="146"/>
      <c r="AK25" s="107"/>
      <c r="AL25" s="107"/>
      <c r="AM25" s="107"/>
      <c r="AN25" s="107"/>
      <c r="AO25" s="78">
        <v>5</v>
      </c>
      <c r="AP25" s="389">
        <f>V15+V16+V17+V18+V19</f>
        <v>-26289</v>
      </c>
      <c r="AQ25" s="107"/>
      <c r="AR25" s="107"/>
      <c r="AS25" s="107"/>
      <c r="AT25" s="107"/>
      <c r="AU25" s="107"/>
      <c r="AV25" s="107"/>
      <c r="AW25" s="107"/>
      <c r="AX25" s="142">
        <f>SUM(AX22:AX24)</f>
        <v>167510</v>
      </c>
      <c r="AY25" s="142">
        <f>SUM(AY22:AY24)</f>
        <v>16751</v>
      </c>
      <c r="AZ25" s="107"/>
      <c r="BA25" s="182">
        <f>+AY21</f>
        <v>167510</v>
      </c>
      <c r="BB25" s="142">
        <f>+AX22</f>
        <v>167510</v>
      </c>
      <c r="BC25" s="142">
        <f>+BA25-BB25</f>
        <v>0</v>
      </c>
      <c r="BD25" s="107"/>
      <c r="BE25" s="107"/>
      <c r="BF25" s="107"/>
      <c r="BG25" s="107"/>
      <c r="BH25" s="107"/>
      <c r="BI25" s="107"/>
      <c r="BJ25" s="136"/>
      <c r="CQ25" s="32">
        <f t="shared" si="9"/>
        <v>37200</v>
      </c>
      <c r="CR25">
        <f t="shared" si="1"/>
        <v>1116</v>
      </c>
      <c r="CS25" s="917">
        <f t="shared" si="2"/>
        <v>1100</v>
      </c>
    </row>
    <row r="26" spans="2:97" ht="18.75" thickBot="1">
      <c r="B26" s="924">
        <f>ROUND(+B25*3/100,0)</f>
        <v>750</v>
      </c>
      <c r="C26" s="23"/>
      <c r="D26" s="935">
        <f t="shared" si="3"/>
        <v>21</v>
      </c>
      <c r="E26" s="938">
        <f t="shared" si="4"/>
        <v>38300</v>
      </c>
      <c r="F26" s="1128">
        <f t="shared" si="5"/>
        <v>0</v>
      </c>
      <c r="G26" s="30"/>
      <c r="H26" s="390" t="s">
        <v>400</v>
      </c>
      <c r="I26" s="7"/>
      <c r="J26" s="7"/>
      <c r="K26" s="7"/>
      <c r="L26" s="7"/>
      <c r="M26" s="7"/>
      <c r="N26" s="185"/>
      <c r="O26" s="186">
        <f>+WORKING!N26</f>
        <v>4500</v>
      </c>
      <c r="P26" s="420"/>
      <c r="Q26" s="422" t="s">
        <v>240</v>
      </c>
      <c r="R26" s="422"/>
      <c r="S26" s="422"/>
      <c r="T26" s="423">
        <f>+WORKING!S26</f>
        <v>0</v>
      </c>
      <c r="U26" s="27"/>
      <c r="V26" s="28"/>
      <c r="AB26" s="156">
        <v>10</v>
      </c>
      <c r="AC26" s="232">
        <v>0</v>
      </c>
      <c r="AD26" s="235"/>
      <c r="AE26" s="235"/>
      <c r="AF26" s="151"/>
      <c r="AG26" s="157"/>
      <c r="AH26" s="107"/>
      <c r="AI26" s="107"/>
      <c r="AJ26" s="146"/>
      <c r="AK26" s="107"/>
      <c r="AL26" s="107"/>
      <c r="AM26" s="107"/>
      <c r="AN26" s="107"/>
      <c r="AO26" s="107"/>
      <c r="AP26" s="107"/>
      <c r="AQ26" s="107"/>
      <c r="AR26" s="107"/>
      <c r="AS26" s="425">
        <v>0</v>
      </c>
      <c r="AT26" s="426">
        <v>0</v>
      </c>
      <c r="AU26" s="107"/>
      <c r="AV26" s="425">
        <v>0</v>
      </c>
      <c r="AW26" s="426">
        <v>0</v>
      </c>
      <c r="AX26" s="107"/>
      <c r="AY26" s="425">
        <v>0</v>
      </c>
      <c r="AZ26" s="426">
        <v>0</v>
      </c>
      <c r="BA26" s="182">
        <f>+BC25</f>
        <v>0</v>
      </c>
      <c r="BB26" s="142">
        <f>+AX23</f>
        <v>0</v>
      </c>
      <c r="BC26" s="142">
        <f>+BA26-BB26</f>
        <v>0</v>
      </c>
      <c r="BD26" s="107"/>
      <c r="BE26" s="425">
        <v>0</v>
      </c>
      <c r="BF26" s="426">
        <v>0</v>
      </c>
      <c r="BG26" s="107"/>
      <c r="BH26" s="107"/>
      <c r="BI26" s="107"/>
      <c r="BJ26" s="136"/>
      <c r="BM26" s="573"/>
      <c r="BN26" s="574"/>
      <c r="CQ26" s="32">
        <f t="shared" si="9"/>
        <v>38300</v>
      </c>
      <c r="CR26">
        <f t="shared" si="1"/>
        <v>1149</v>
      </c>
      <c r="CS26" s="917">
        <f t="shared" si="2"/>
        <v>1100</v>
      </c>
    </row>
    <row r="27" spans="2:97" ht="18.75" thickBot="1">
      <c r="B27" s="925">
        <f>FLOOR(+B26+50,100)</f>
        <v>800</v>
      </c>
      <c r="C27" s="23"/>
      <c r="D27" s="935">
        <f t="shared" si="3"/>
        <v>22</v>
      </c>
      <c r="E27" s="938">
        <f t="shared" si="4"/>
        <v>39400</v>
      </c>
      <c r="F27" s="1128">
        <f t="shared" si="5"/>
        <v>0</v>
      </c>
      <c r="H27" s="26" t="s">
        <v>31</v>
      </c>
      <c r="I27" s="7"/>
      <c r="J27" s="7"/>
      <c r="K27" s="7"/>
      <c r="L27" s="7"/>
      <c r="M27" s="7"/>
      <c r="N27" s="185"/>
      <c r="O27" s="186">
        <f>+WORKING!N27</f>
        <v>0</v>
      </c>
      <c r="P27" s="420"/>
      <c r="Q27" s="422" t="s">
        <v>3</v>
      </c>
      <c r="R27" s="422"/>
      <c r="S27" s="422"/>
      <c r="T27" s="1117">
        <f>+T25+T26</f>
        <v>0</v>
      </c>
      <c r="U27" s="27"/>
      <c r="V27" s="28"/>
      <c r="AB27" s="156">
        <v>11</v>
      </c>
      <c r="AC27" s="232">
        <v>0</v>
      </c>
      <c r="AD27" s="235"/>
      <c r="AE27" s="235"/>
      <c r="AF27" s="151"/>
      <c r="AG27" s="157"/>
      <c r="AH27" s="107"/>
      <c r="AI27" s="107"/>
      <c r="AJ27" s="146"/>
      <c r="AK27" s="107"/>
      <c r="AL27" s="107"/>
      <c r="AM27" s="107"/>
      <c r="AN27" s="380" t="s">
        <v>232</v>
      </c>
      <c r="AO27" s="107"/>
      <c r="AP27" s="107"/>
      <c r="AQ27" s="107"/>
      <c r="AR27" s="107"/>
      <c r="AS27" s="427">
        <v>1</v>
      </c>
      <c r="AT27" s="428">
        <f>+T29</f>
        <v>0</v>
      </c>
      <c r="AU27" s="107"/>
      <c r="AV27" s="427">
        <v>15001</v>
      </c>
      <c r="AW27" s="428">
        <v>15000</v>
      </c>
      <c r="AX27" s="107"/>
      <c r="AY27" s="427">
        <v>1</v>
      </c>
      <c r="AZ27" s="428">
        <v>300000</v>
      </c>
      <c r="BA27" s="183"/>
      <c r="BB27" s="107"/>
      <c r="BC27" s="107"/>
      <c r="BD27" s="107"/>
      <c r="BE27" s="427">
        <v>250000</v>
      </c>
      <c r="BF27" s="428" t="e">
        <f>+#REF!</f>
        <v>#REF!</v>
      </c>
      <c r="BG27" s="107"/>
      <c r="BH27" s="107"/>
      <c r="BI27" s="107"/>
      <c r="BJ27" s="136"/>
      <c r="BM27" s="575">
        <v>3</v>
      </c>
      <c r="BN27" s="88">
        <v>180</v>
      </c>
      <c r="CQ27" s="32">
        <f t="shared" si="9"/>
        <v>39400</v>
      </c>
      <c r="CR27">
        <f t="shared" si="1"/>
        <v>1182</v>
      </c>
      <c r="CS27" s="917">
        <f t="shared" si="2"/>
        <v>1200</v>
      </c>
    </row>
    <row r="28" spans="2:97" ht="18.75" thickBot="1">
      <c r="B28" s="97">
        <f>+B23+B27</f>
        <v>25800</v>
      </c>
      <c r="C28" s="29"/>
      <c r="D28" s="935">
        <f t="shared" si="3"/>
        <v>23</v>
      </c>
      <c r="E28" s="938">
        <f t="shared" si="4"/>
        <v>40600</v>
      </c>
      <c r="F28" s="1128">
        <f t="shared" si="5"/>
        <v>0</v>
      </c>
      <c r="H28" s="26" t="s">
        <v>390</v>
      </c>
      <c r="I28" s="7"/>
      <c r="J28" s="7"/>
      <c r="K28" s="7"/>
      <c r="L28" s="7"/>
      <c r="M28" s="7"/>
      <c r="N28" s="185"/>
      <c r="O28" s="186">
        <f>+WORKING!N28</f>
        <v>0</v>
      </c>
      <c r="P28" s="420"/>
      <c r="Q28" s="422" t="s">
        <v>241</v>
      </c>
      <c r="R28" s="422"/>
      <c r="S28" s="422"/>
      <c r="T28" s="493">
        <f>+WORKING!S28</f>
        <v>0</v>
      </c>
      <c r="U28" s="27"/>
      <c r="V28" s="28"/>
      <c r="AB28" s="156">
        <v>12</v>
      </c>
      <c r="AC28" s="232">
        <v>0</v>
      </c>
      <c r="AD28" s="235"/>
      <c r="AE28" s="235"/>
      <c r="AF28" s="161"/>
      <c r="AG28" s="168"/>
      <c r="AH28" s="107"/>
      <c r="AI28" s="107"/>
      <c r="AJ28" s="146"/>
      <c r="AK28" s="107"/>
      <c r="AL28" s="107"/>
      <c r="AM28" s="382" t="str">
        <f>C11</f>
        <v>Y</v>
      </c>
      <c r="AN28" s="381" t="s">
        <v>235</v>
      </c>
      <c r="AO28" s="382">
        <v>0</v>
      </c>
      <c r="AP28" s="382">
        <f>VLOOKUP(+AM28,AN28:AO29,2)</f>
        <v>31200</v>
      </c>
      <c r="AQ28" s="107"/>
      <c r="AR28" s="107"/>
      <c r="AS28" s="429"/>
      <c r="AT28" s="432"/>
      <c r="AU28" s="107"/>
      <c r="AV28" s="429"/>
      <c r="AW28" s="432"/>
      <c r="AX28" s="107"/>
      <c r="AY28" s="429"/>
      <c r="AZ28" s="432"/>
      <c r="BA28" s="183"/>
      <c r="BB28" s="107"/>
      <c r="BC28" s="107"/>
      <c r="BD28" s="107"/>
      <c r="BE28" s="427">
        <v>250001</v>
      </c>
      <c r="BF28" s="428">
        <v>250000</v>
      </c>
      <c r="BG28" s="107"/>
      <c r="BH28" s="107"/>
      <c r="BI28" s="107"/>
      <c r="BJ28" s="136"/>
      <c r="BM28" s="575">
        <f>+BM27+1</f>
        <v>4</v>
      </c>
      <c r="BN28" s="88">
        <v>180</v>
      </c>
      <c r="CQ28" s="32">
        <f t="shared" si="9"/>
        <v>40600</v>
      </c>
      <c r="CR28">
        <f t="shared" si="1"/>
        <v>1218</v>
      </c>
      <c r="CS28" s="917">
        <f t="shared" si="2"/>
        <v>1200</v>
      </c>
    </row>
    <row r="29" spans="2:97" ht="18.75" thickBot="1">
      <c r="B29" s="919"/>
      <c r="D29" s="935">
        <f t="shared" si="3"/>
        <v>24</v>
      </c>
      <c r="E29" s="938">
        <f t="shared" si="4"/>
        <v>41800</v>
      </c>
      <c r="F29" s="1128">
        <f t="shared" si="5"/>
        <v>0</v>
      </c>
      <c r="H29" s="1155" t="s">
        <v>3</v>
      </c>
      <c r="I29" s="1156">
        <f>+I23</f>
        <v>308800</v>
      </c>
      <c r="J29" s="1156">
        <f>+J23</f>
        <v>0</v>
      </c>
      <c r="K29" s="1156">
        <f>+K23</f>
        <v>59720</v>
      </c>
      <c r="L29" s="1156">
        <f>+L23</f>
        <v>31200</v>
      </c>
      <c r="M29" s="1156">
        <f>+M23</f>
        <v>6000</v>
      </c>
      <c r="N29" s="1157"/>
      <c r="O29" s="1158">
        <f>SUM(O23:O28)</f>
        <v>418620</v>
      </c>
      <c r="P29" s="421"/>
      <c r="Q29" s="424" t="s">
        <v>48</v>
      </c>
      <c r="R29" s="424"/>
      <c r="S29" s="424"/>
      <c r="T29" s="494">
        <f>+T27-T28</f>
        <v>0</v>
      </c>
      <c r="U29" s="497">
        <f>IF(T27&gt;300000,T29,IF(T27&lt;300000,0,0))</f>
        <v>0</v>
      </c>
      <c r="V29" s="495"/>
      <c r="AB29" s="146"/>
      <c r="AC29" s="107"/>
      <c r="AD29" s="107"/>
      <c r="AE29" s="107"/>
      <c r="AF29" s="107"/>
      <c r="AG29" s="169"/>
      <c r="AH29" s="170"/>
      <c r="AI29" s="107"/>
      <c r="AJ29" s="146"/>
      <c r="AK29" s="107"/>
      <c r="AL29" s="107"/>
      <c r="AM29" s="382"/>
      <c r="AN29" s="382" t="s">
        <v>234</v>
      </c>
      <c r="AO29" s="585">
        <f>+C14</f>
        <v>31200</v>
      </c>
      <c r="AP29" s="382"/>
      <c r="AQ29" s="107"/>
      <c r="AR29" s="107"/>
      <c r="AS29" s="430"/>
      <c r="AT29" s="431">
        <f>VLOOKUP(+T29,AS26:AT28,2)</f>
        <v>0</v>
      </c>
      <c r="AU29" s="107"/>
      <c r="AV29" s="430"/>
      <c r="AW29" s="431" t="e">
        <f>VLOOKUP(#REF!,AV26:AW28,2)</f>
        <v>#REF!</v>
      </c>
      <c r="AX29" s="107"/>
      <c r="AY29" s="430"/>
      <c r="AZ29" s="431">
        <f>VLOOKUP(T27,AY26:AZ28,2)</f>
        <v>0</v>
      </c>
      <c r="BA29" s="183"/>
      <c r="BB29" s="107"/>
      <c r="BC29" s="107"/>
      <c r="BD29" s="107"/>
      <c r="BE29" s="430"/>
      <c r="BF29" s="431" t="e">
        <f>VLOOKUP(#REF!,BE26:BF28,2)</f>
        <v>#REF!</v>
      </c>
      <c r="BG29" s="107"/>
      <c r="BH29" s="107"/>
      <c r="BI29" s="107"/>
      <c r="BJ29" s="136"/>
      <c r="BM29" s="575">
        <f aca="true" t="shared" si="19" ref="BM29:BM36">+BM28+1</f>
        <v>5</v>
      </c>
      <c r="BN29" s="88">
        <v>180</v>
      </c>
      <c r="CQ29" s="32">
        <f t="shared" si="9"/>
        <v>41800</v>
      </c>
      <c r="CR29">
        <f t="shared" si="1"/>
        <v>1254</v>
      </c>
      <c r="CS29" s="917">
        <f t="shared" si="2"/>
        <v>1300</v>
      </c>
    </row>
    <row r="30" spans="2:97" ht="18" customHeight="1" thickBot="1">
      <c r="B30" s="920"/>
      <c r="D30" s="935">
        <f t="shared" si="3"/>
        <v>25</v>
      </c>
      <c r="E30" s="938">
        <f t="shared" si="4"/>
        <v>43100</v>
      </c>
      <c r="F30" s="1128">
        <f t="shared" si="5"/>
        <v>0</v>
      </c>
      <c r="H30" s="964"/>
      <c r="I30" s="1719" t="s">
        <v>281</v>
      </c>
      <c r="J30" s="1719"/>
      <c r="K30" s="1719"/>
      <c r="L30" s="1719"/>
      <c r="M30" s="1719"/>
      <c r="N30" s="1936"/>
      <c r="O30" s="1164">
        <f>+AP32</f>
        <v>1110</v>
      </c>
      <c r="P30" s="227"/>
      <c r="Q30" s="1159"/>
      <c r="R30" s="1937"/>
      <c r="S30" s="1937"/>
      <c r="T30" s="1937"/>
      <c r="U30" s="1937"/>
      <c r="V30" s="1162"/>
      <c r="AH30" s="1"/>
      <c r="AI30" s="37"/>
      <c r="AJ30" s="1"/>
      <c r="AK30" s="1"/>
      <c r="BM30" s="575">
        <f t="shared" si="19"/>
        <v>6</v>
      </c>
      <c r="BN30" s="88">
        <v>180</v>
      </c>
      <c r="CQ30" s="32">
        <f t="shared" si="9"/>
        <v>43100</v>
      </c>
      <c r="CR30">
        <f t="shared" si="1"/>
        <v>1293</v>
      </c>
      <c r="CS30" s="917">
        <f t="shared" si="2"/>
        <v>1300</v>
      </c>
    </row>
    <row r="31" spans="4:97" ht="18.75" thickBot="1">
      <c r="D31" s="935">
        <f>+D30+1</f>
        <v>26</v>
      </c>
      <c r="E31" s="938">
        <f t="shared" si="4"/>
        <v>44400</v>
      </c>
      <c r="F31" s="1128">
        <f t="shared" si="5"/>
        <v>0</v>
      </c>
      <c r="H31" s="1137"/>
      <c r="I31" s="1938" t="s">
        <v>33</v>
      </c>
      <c r="J31" s="1719"/>
      <c r="K31" s="1719"/>
      <c r="L31" s="1719"/>
      <c r="M31" s="1719"/>
      <c r="N31" s="1936"/>
      <c r="O31" s="1165">
        <f>ROUND(+O29,0)+U29-O30</f>
        <v>417510</v>
      </c>
      <c r="P31" s="227"/>
      <c r="Q31" s="1160"/>
      <c r="R31" s="1939"/>
      <c r="S31" s="1939"/>
      <c r="T31" s="1939"/>
      <c r="U31" s="1161"/>
      <c r="V31" s="1163"/>
      <c r="AH31" s="3"/>
      <c r="AI31" s="22"/>
      <c r="AJ31" s="1"/>
      <c r="AK31" s="1"/>
      <c r="AM31" s="107"/>
      <c r="AN31" s="380" t="s">
        <v>282</v>
      </c>
      <c r="AO31" s="107"/>
      <c r="AP31" s="107"/>
      <c r="AQ31" s="107"/>
      <c r="BM31" s="575">
        <f t="shared" si="19"/>
        <v>7</v>
      </c>
      <c r="BN31" s="88">
        <v>180</v>
      </c>
      <c r="CQ31" s="32">
        <f t="shared" si="9"/>
        <v>44400</v>
      </c>
      <c r="CR31">
        <f t="shared" si="1"/>
        <v>1332</v>
      </c>
      <c r="CS31" s="917">
        <f t="shared" si="2"/>
        <v>1300</v>
      </c>
    </row>
    <row r="32" spans="2:97" ht="18">
      <c r="B32" s="31"/>
      <c r="D32" s="935">
        <f t="shared" si="3"/>
        <v>27</v>
      </c>
      <c r="E32" s="938">
        <f t="shared" si="4"/>
        <v>45700</v>
      </c>
      <c r="F32" s="1128">
        <f t="shared" si="5"/>
        <v>0</v>
      </c>
      <c r="H32" s="1178"/>
      <c r="I32" s="1166"/>
      <c r="J32" s="1166"/>
      <c r="K32" s="1166"/>
      <c r="L32" s="1166"/>
      <c r="M32" s="1166"/>
      <c r="N32" s="1179"/>
      <c r="O32" s="1180"/>
      <c r="P32" s="1181"/>
      <c r="Q32" s="1182"/>
      <c r="R32" s="1168"/>
      <c r="S32" s="1168"/>
      <c r="T32" s="1168"/>
      <c r="U32" s="1183"/>
      <c r="V32" s="1184"/>
      <c r="AH32" s="1"/>
      <c r="AI32" s="1"/>
      <c r="AJ32" s="1"/>
      <c r="AK32" s="1"/>
      <c r="AM32" s="382" t="str">
        <f>+C21</f>
        <v>Y</v>
      </c>
      <c r="AN32" s="381" t="s">
        <v>235</v>
      </c>
      <c r="AO32" s="382">
        <v>0</v>
      </c>
      <c r="AP32" s="382">
        <f>VLOOKUP(+AM32,AN32:AO33,2)</f>
        <v>1110</v>
      </c>
      <c r="AQ32" s="107"/>
      <c r="BM32" s="575">
        <f t="shared" si="19"/>
        <v>8</v>
      </c>
      <c r="BN32" s="88">
        <v>180</v>
      </c>
      <c r="CQ32" s="32">
        <f t="shared" si="9"/>
        <v>45700</v>
      </c>
      <c r="CR32">
        <f t="shared" si="1"/>
        <v>1371</v>
      </c>
      <c r="CS32" s="917">
        <f t="shared" si="2"/>
        <v>1400</v>
      </c>
    </row>
    <row r="33" spans="4:97" ht="18">
      <c r="D33" s="935">
        <f t="shared" si="3"/>
        <v>28</v>
      </c>
      <c r="E33" s="938">
        <f t="shared" si="4"/>
        <v>47100</v>
      </c>
      <c r="F33" s="1128">
        <f t="shared" si="5"/>
        <v>0</v>
      </c>
      <c r="G33" s="1"/>
      <c r="H33" s="1185"/>
      <c r="I33" s="1648" t="s">
        <v>44</v>
      </c>
      <c r="J33" s="1649"/>
      <c r="K33" s="1649"/>
      <c r="L33" s="1649"/>
      <c r="M33" s="1649"/>
      <c r="N33" s="1649"/>
      <c r="O33" s="1649"/>
      <c r="P33" s="1650"/>
      <c r="Q33" s="1171"/>
      <c r="R33" s="1950">
        <f>+O31</f>
        <v>417510</v>
      </c>
      <c r="S33" s="1950"/>
      <c r="T33" s="1172"/>
      <c r="U33" s="1151"/>
      <c r="V33" s="1186"/>
      <c r="W33" s="391"/>
      <c r="AM33" s="382"/>
      <c r="AN33" s="382" t="s">
        <v>234</v>
      </c>
      <c r="AO33" s="382">
        <f>ROUND(+AS35/30,0)</f>
        <v>1110</v>
      </c>
      <c r="AP33" s="382"/>
      <c r="AQ33" s="107"/>
      <c r="BM33" s="575">
        <f t="shared" si="19"/>
        <v>9</v>
      </c>
      <c r="BN33" s="88">
        <v>180</v>
      </c>
      <c r="CQ33" s="32">
        <f t="shared" si="9"/>
        <v>47100</v>
      </c>
      <c r="CR33">
        <f t="shared" si="1"/>
        <v>1413</v>
      </c>
      <c r="CS33" s="917">
        <f t="shared" si="2"/>
        <v>1400</v>
      </c>
    </row>
    <row r="34" spans="4:97" ht="18.75" thickBot="1">
      <c r="D34" s="935">
        <f t="shared" si="3"/>
        <v>29</v>
      </c>
      <c r="E34" s="938">
        <f t="shared" si="4"/>
        <v>48500</v>
      </c>
      <c r="F34" s="1128">
        <f t="shared" si="5"/>
        <v>0</v>
      </c>
      <c r="G34" s="1"/>
      <c r="H34" s="1185"/>
      <c r="I34" s="1648" t="str">
        <f>VLOOKUP(AP6,AX41:AY42,2)</f>
        <v>UPTO RS.250000/= (   NIL  )</v>
      </c>
      <c r="J34" s="1649"/>
      <c r="K34" s="1649"/>
      <c r="L34" s="1649"/>
      <c r="M34" s="1649"/>
      <c r="N34" s="1649"/>
      <c r="O34" s="1649"/>
      <c r="P34" s="1650"/>
      <c r="Q34" s="1171"/>
      <c r="R34" s="1947">
        <f>VLOOKUP(AP6,AQ6:AR7,2,FALSE)</f>
        <v>250000</v>
      </c>
      <c r="S34" s="1947"/>
      <c r="T34" s="1173"/>
      <c r="U34" s="1151"/>
      <c r="V34" s="1187"/>
      <c r="W34" s="391"/>
      <c r="BM34" s="575">
        <f t="shared" si="19"/>
        <v>10</v>
      </c>
      <c r="BN34" s="88">
        <v>180</v>
      </c>
      <c r="CQ34" s="32">
        <f t="shared" si="9"/>
        <v>48500</v>
      </c>
      <c r="CR34">
        <f t="shared" si="1"/>
        <v>1455</v>
      </c>
      <c r="CS34" s="917">
        <f t="shared" si="2"/>
        <v>1500</v>
      </c>
    </row>
    <row r="35" spans="4:97" ht="18.75" thickBot="1">
      <c r="D35" s="935">
        <f t="shared" si="3"/>
        <v>30</v>
      </c>
      <c r="E35" s="938">
        <f t="shared" si="4"/>
        <v>50000</v>
      </c>
      <c r="F35" s="1128">
        <f t="shared" si="5"/>
        <v>0</v>
      </c>
      <c r="G35" s="1"/>
      <c r="H35" s="1185"/>
      <c r="I35" s="1940"/>
      <c r="J35" s="1941"/>
      <c r="K35" s="1941"/>
      <c r="L35" s="1941"/>
      <c r="M35" s="1941"/>
      <c r="N35" s="1941"/>
      <c r="O35" s="1941"/>
      <c r="P35" s="1942"/>
      <c r="Q35" s="1171"/>
      <c r="R35" s="1951">
        <f>+R33-R34</f>
        <v>167510</v>
      </c>
      <c r="S35" s="1951"/>
      <c r="T35" s="1172"/>
      <c r="U35" s="1151"/>
      <c r="V35" s="1186"/>
      <c r="W35" s="391"/>
      <c r="AL35" s="579">
        <v>1.25</v>
      </c>
      <c r="AM35" s="57">
        <f>+I14</f>
        <v>25800</v>
      </c>
      <c r="AN35" s="57">
        <f>+J14</f>
        <v>0</v>
      </c>
      <c r="AO35" s="57">
        <f>+AV35</f>
        <v>323</v>
      </c>
      <c r="AP35" s="57">
        <f>+L14</f>
        <v>2600</v>
      </c>
      <c r="AQ35" s="57">
        <f>+M14</f>
        <v>500</v>
      </c>
      <c r="AR35" s="57">
        <f>+N14</f>
        <v>0</v>
      </c>
      <c r="AS35" s="57">
        <f>+O14</f>
        <v>33286</v>
      </c>
      <c r="AT35" s="57"/>
      <c r="AU35" s="57">
        <f>+AM35+AN35</f>
        <v>25800</v>
      </c>
      <c r="AV35" s="57">
        <f>ROUND(+AU35*+AL35/100,0)</f>
        <v>323</v>
      </c>
      <c r="BM35" s="575">
        <f t="shared" si="19"/>
        <v>11</v>
      </c>
      <c r="BN35" s="88">
        <v>180</v>
      </c>
      <c r="CQ35" s="32">
        <f t="shared" si="9"/>
        <v>50000</v>
      </c>
      <c r="CR35">
        <f t="shared" si="1"/>
        <v>1500</v>
      </c>
      <c r="CS35" s="917">
        <f t="shared" si="2"/>
        <v>1500</v>
      </c>
    </row>
    <row r="36" spans="4:97" ht="18">
      <c r="D36" s="935">
        <f t="shared" si="3"/>
        <v>31</v>
      </c>
      <c r="E36" s="938">
        <f t="shared" si="4"/>
        <v>51500</v>
      </c>
      <c r="F36" s="1128">
        <f t="shared" si="5"/>
        <v>0</v>
      </c>
      <c r="G36" s="1"/>
      <c r="H36" s="1185"/>
      <c r="I36" s="1955" t="str">
        <f>VLOOKUP(AP6,AX44:AY45,2)</f>
        <v>250001  TO  500000         5%</v>
      </c>
      <c r="J36" s="1956"/>
      <c r="K36" s="1956"/>
      <c r="L36" s="1956"/>
      <c r="M36" s="1956"/>
      <c r="N36" s="1196"/>
      <c r="O36" s="1972">
        <f>VLOOKUP(AP6,AX47:AY48,2)</f>
        <v>167510</v>
      </c>
      <c r="P36" s="1973"/>
      <c r="Q36" s="1194"/>
      <c r="R36" s="1952">
        <f>ROUND(+O36*5%,0)</f>
        <v>8376</v>
      </c>
      <c r="S36" s="1952"/>
      <c r="T36" s="1413"/>
      <c r="U36" s="1151"/>
      <c r="V36" s="1187"/>
      <c r="W36" s="391"/>
      <c r="X36" s="189"/>
      <c r="BM36" s="575">
        <f t="shared" si="19"/>
        <v>12</v>
      </c>
      <c r="BN36" s="88">
        <v>180</v>
      </c>
      <c r="CQ36" s="32">
        <f t="shared" si="9"/>
        <v>51500</v>
      </c>
      <c r="CR36">
        <f t="shared" si="1"/>
        <v>1545</v>
      </c>
      <c r="CS36" s="917">
        <f t="shared" si="2"/>
        <v>1500</v>
      </c>
    </row>
    <row r="37" spans="4:97" ht="18">
      <c r="D37" s="935">
        <f t="shared" si="3"/>
        <v>32</v>
      </c>
      <c r="E37" s="938">
        <f t="shared" si="4"/>
        <v>53000</v>
      </c>
      <c r="F37" s="1128">
        <f t="shared" si="5"/>
        <v>0</v>
      </c>
      <c r="G37" s="1"/>
      <c r="H37" s="1185"/>
      <c r="I37" s="1953" t="s">
        <v>407</v>
      </c>
      <c r="J37" s="1954"/>
      <c r="K37" s="1954"/>
      <c r="L37" s="1954"/>
      <c r="M37" s="1954"/>
      <c r="N37" s="1175"/>
      <c r="O37" s="1974">
        <f>IF(R35&gt;500000,BD42,IF(R35&lt;750000,BD41,0))</f>
        <v>0</v>
      </c>
      <c r="P37" s="1975"/>
      <c r="Q37" s="1194"/>
      <c r="R37" s="1932">
        <f>ROUND(+O37*10%,0)</f>
        <v>0</v>
      </c>
      <c r="S37" s="1932"/>
      <c r="T37" s="1173"/>
      <c r="U37" s="1151"/>
      <c r="V37" s="1187"/>
      <c r="W37" s="391"/>
      <c r="X37" s="189"/>
      <c r="BM37" s="575">
        <v>1</v>
      </c>
      <c r="BN37" s="88">
        <v>180</v>
      </c>
      <c r="CQ37" s="32">
        <f t="shared" si="9"/>
        <v>53000</v>
      </c>
      <c r="CR37">
        <f t="shared" si="1"/>
        <v>1590</v>
      </c>
      <c r="CS37" s="917">
        <f t="shared" si="2"/>
        <v>1600</v>
      </c>
    </row>
    <row r="38" spans="4:97" ht="18">
      <c r="D38" s="935">
        <f t="shared" si="3"/>
        <v>33</v>
      </c>
      <c r="E38" s="938">
        <f t="shared" si="4"/>
        <v>54600</v>
      </c>
      <c r="F38" s="1128">
        <f t="shared" si="5"/>
        <v>0</v>
      </c>
      <c r="G38" s="1"/>
      <c r="H38" s="1185"/>
      <c r="I38" s="1953" t="s">
        <v>405</v>
      </c>
      <c r="J38" s="1954"/>
      <c r="K38" s="1954"/>
      <c r="L38" s="1954"/>
      <c r="M38" s="1954"/>
      <c r="N38" s="1174"/>
      <c r="O38" s="1974">
        <f>IF(R35&gt;750000,BD45,IF(R35&lt;1050000,BD44,0))</f>
        <v>0</v>
      </c>
      <c r="P38" s="1975"/>
      <c r="Q38" s="1194"/>
      <c r="R38" s="1932">
        <f>ROUND(+O38*15%,0)</f>
        <v>0</v>
      </c>
      <c r="S38" s="1932"/>
      <c r="T38" s="1412"/>
      <c r="U38" s="1151"/>
      <c r="V38" s="1187"/>
      <c r="W38" s="391"/>
      <c r="X38" s="189"/>
      <c r="Y38" s="189"/>
      <c r="Z38" s="189"/>
      <c r="BM38" s="575">
        <v>2</v>
      </c>
      <c r="BN38" s="88">
        <v>180</v>
      </c>
      <c r="CQ38" s="32">
        <f t="shared" si="9"/>
        <v>54600</v>
      </c>
      <c r="CR38">
        <f t="shared" si="1"/>
        <v>1638</v>
      </c>
      <c r="CS38" s="917">
        <f t="shared" si="2"/>
        <v>1600</v>
      </c>
    </row>
    <row r="39" spans="4:97" ht="18.75" thickBot="1">
      <c r="D39" s="935">
        <f>+D38+1</f>
        <v>34</v>
      </c>
      <c r="E39" s="938">
        <f t="shared" si="4"/>
        <v>56200</v>
      </c>
      <c r="F39" s="1128">
        <f t="shared" si="5"/>
        <v>0</v>
      </c>
      <c r="G39" s="1"/>
      <c r="H39" s="1185"/>
      <c r="I39" s="1953" t="s">
        <v>406</v>
      </c>
      <c r="J39" s="1954"/>
      <c r="K39" s="1954"/>
      <c r="L39" s="1954"/>
      <c r="M39" s="1954"/>
      <c r="N39" s="1175"/>
      <c r="O39" s="1974">
        <f>IF(R35&gt;1000000,BD48,IF(R35&lt;1250000,BD48,0))</f>
        <v>0</v>
      </c>
      <c r="P39" s="1975"/>
      <c r="Q39" s="1194"/>
      <c r="R39" s="1932">
        <f>ROUND(+O39*20%,0)</f>
        <v>0</v>
      </c>
      <c r="S39" s="1932"/>
      <c r="T39" s="1176"/>
      <c r="U39" s="1151"/>
      <c r="V39" s="1187"/>
      <c r="W39" s="391"/>
      <c r="X39" s="189"/>
      <c r="Y39" s="189"/>
      <c r="Z39" s="189"/>
      <c r="BM39" s="576"/>
      <c r="BN39" s="577">
        <f>SUM(BN27:BN38)</f>
        <v>2160</v>
      </c>
      <c r="CQ39" s="32">
        <f t="shared" si="9"/>
        <v>56200</v>
      </c>
      <c r="CR39">
        <f t="shared" si="1"/>
        <v>1686</v>
      </c>
      <c r="CS39" s="917">
        <f t="shared" si="2"/>
        <v>1700</v>
      </c>
    </row>
    <row r="40" spans="4:97" ht="18.75" thickBot="1">
      <c r="D40" s="935">
        <f t="shared" si="3"/>
        <v>35</v>
      </c>
      <c r="E40" s="938">
        <f t="shared" si="4"/>
        <v>57900</v>
      </c>
      <c r="F40" s="1128">
        <f t="shared" si="5"/>
        <v>0</v>
      </c>
      <c r="G40" s="1"/>
      <c r="H40" s="1185"/>
      <c r="I40" s="1953" t="s">
        <v>404</v>
      </c>
      <c r="J40" s="1954"/>
      <c r="K40" s="1954"/>
      <c r="L40" s="1954"/>
      <c r="M40" s="1954"/>
      <c r="N40" s="1174"/>
      <c r="O40" s="1974">
        <f>IF(R35&gt;1200000,BD51,IF(R35&lt;1500000,BD51,0))</f>
        <v>0</v>
      </c>
      <c r="P40" s="1975"/>
      <c r="Q40" s="1195"/>
      <c r="R40" s="1932">
        <f>ROUND(+O40*25%,0)</f>
        <v>0</v>
      </c>
      <c r="S40" s="1932"/>
      <c r="T40" s="1177"/>
      <c r="U40" s="1151"/>
      <c r="V40" s="1186"/>
      <c r="W40" s="391"/>
      <c r="X40" s="189"/>
      <c r="AO40" s="32">
        <f>+R35</f>
        <v>167510</v>
      </c>
      <c r="AP40">
        <v>0</v>
      </c>
      <c r="AQ40">
        <v>0</v>
      </c>
      <c r="CQ40" s="32">
        <f t="shared" si="9"/>
        <v>57900</v>
      </c>
      <c r="CR40">
        <f t="shared" si="1"/>
        <v>1737</v>
      </c>
      <c r="CS40" s="917">
        <f t="shared" si="2"/>
        <v>1700</v>
      </c>
    </row>
    <row r="41" spans="4:97" ht="18.75" thickBot="1">
      <c r="D41" s="935">
        <f t="shared" si="3"/>
        <v>36</v>
      </c>
      <c r="E41" s="938">
        <f t="shared" si="4"/>
        <v>59600</v>
      </c>
      <c r="F41" s="1128">
        <f t="shared" si="5"/>
        <v>0</v>
      </c>
      <c r="G41" s="1"/>
      <c r="H41" s="1188"/>
      <c r="I41" s="1982" t="s">
        <v>410</v>
      </c>
      <c r="J41" s="1983"/>
      <c r="K41" s="1983"/>
      <c r="L41" s="1983"/>
      <c r="M41" s="1983"/>
      <c r="N41" s="1198"/>
      <c r="O41" s="1977">
        <f>IF(R35&gt;4000000,4000000,IF(R35&lt;4000000,R35-O36-O37-O38-O39-O40,0))</f>
        <v>0</v>
      </c>
      <c r="P41" s="1978"/>
      <c r="Q41" s="1195"/>
      <c r="R41" s="1976">
        <f>ROUND(+O41*30%,0)</f>
        <v>0</v>
      </c>
      <c r="S41" s="1976"/>
      <c r="T41" s="1177"/>
      <c r="U41" s="1167"/>
      <c r="V41" s="1186"/>
      <c r="W41" s="391"/>
      <c r="X41" s="189"/>
      <c r="AP41">
        <v>250001</v>
      </c>
      <c r="AQ41">
        <v>5</v>
      </c>
      <c r="AX41" s="112" t="s">
        <v>42</v>
      </c>
      <c r="AY41" s="118" t="s">
        <v>238</v>
      </c>
      <c r="AZ41" s="122"/>
      <c r="BA41" s="112"/>
      <c r="BD41" s="123">
        <f>IF(R35&gt;500001,R35-O36,IF(R35&lt;750000,R35-O36,0))</f>
        <v>0</v>
      </c>
      <c r="CQ41" s="32">
        <f t="shared" si="9"/>
        <v>59600</v>
      </c>
      <c r="CR41">
        <f t="shared" si="1"/>
        <v>1788</v>
      </c>
      <c r="CS41" s="917">
        <f t="shared" si="2"/>
        <v>1800</v>
      </c>
    </row>
    <row r="42" spans="4:97" ht="18.75" thickBot="1">
      <c r="D42" s="935">
        <f t="shared" si="3"/>
        <v>37</v>
      </c>
      <c r="E42" s="938">
        <f t="shared" si="4"/>
        <v>61400</v>
      </c>
      <c r="F42" s="1128">
        <f t="shared" si="5"/>
        <v>0</v>
      </c>
      <c r="G42" s="1"/>
      <c r="H42" s="1185"/>
      <c r="I42" s="1984" t="s">
        <v>3</v>
      </c>
      <c r="J42" s="1985"/>
      <c r="K42" s="1981">
        <f>+R35</f>
        <v>167510</v>
      </c>
      <c r="L42" s="1981"/>
      <c r="M42" s="1981"/>
      <c r="N42" s="1197"/>
      <c r="O42" s="1979">
        <f>SUM(O36:O41)</f>
        <v>167510</v>
      </c>
      <c r="P42" s="1980"/>
      <c r="Q42" s="1140"/>
      <c r="R42" s="1946">
        <f>SUM(R36:R41)</f>
        <v>8376</v>
      </c>
      <c r="S42" s="1946"/>
      <c r="T42" s="1177"/>
      <c r="U42" s="1142"/>
      <c r="V42" s="1189"/>
      <c r="W42" s="391"/>
      <c r="AP42">
        <v>500001</v>
      </c>
      <c r="AQ42">
        <v>10</v>
      </c>
      <c r="AX42" s="107" t="s">
        <v>8</v>
      </c>
      <c r="AY42" s="118" t="s">
        <v>238</v>
      </c>
      <c r="AZ42" s="134"/>
      <c r="BA42" s="107"/>
      <c r="BD42" s="135">
        <f>IF(BD41&gt;250001,250000,IF(BD41&lt;250000,BD41,0))</f>
        <v>0</v>
      </c>
      <c r="CQ42" s="32">
        <f t="shared" si="9"/>
        <v>61400</v>
      </c>
      <c r="CR42">
        <f t="shared" si="1"/>
        <v>1842</v>
      </c>
      <c r="CS42" s="917">
        <f t="shared" si="2"/>
        <v>1800</v>
      </c>
    </row>
    <row r="43" spans="4:97" ht="18.75" thickBot="1">
      <c r="D43" s="935">
        <f t="shared" si="3"/>
        <v>38</v>
      </c>
      <c r="E43" s="938">
        <f t="shared" si="4"/>
        <v>63200</v>
      </c>
      <c r="F43" s="1128">
        <f t="shared" si="5"/>
        <v>0</v>
      </c>
      <c r="G43" s="1"/>
      <c r="H43" s="1188"/>
      <c r="I43" s="1948" t="s">
        <v>45</v>
      </c>
      <c r="J43" s="1949"/>
      <c r="K43" s="1949"/>
      <c r="L43" s="1949"/>
      <c r="M43" s="1949"/>
      <c r="N43" s="1949"/>
      <c r="O43" s="1949"/>
      <c r="P43" s="1949"/>
      <c r="Q43" s="1632"/>
      <c r="R43" s="1931">
        <f>+R42</f>
        <v>8376</v>
      </c>
      <c r="S43" s="1931"/>
      <c r="T43" s="1177"/>
      <c r="U43" s="1152"/>
      <c r="V43" s="1187"/>
      <c r="W43" s="391"/>
      <c r="X43" s="1138"/>
      <c r="AP43">
        <v>750001</v>
      </c>
      <c r="AQ43">
        <v>15</v>
      </c>
      <c r="AX43" s="107"/>
      <c r="AY43" s="134"/>
      <c r="AZ43" s="134"/>
      <c r="BA43" s="107"/>
      <c r="CQ43" s="32">
        <f t="shared" si="9"/>
        <v>63200</v>
      </c>
      <c r="CR43">
        <f t="shared" si="1"/>
        <v>1896</v>
      </c>
      <c r="CS43" s="917">
        <f t="shared" si="2"/>
        <v>1900</v>
      </c>
    </row>
    <row r="44" spans="4:97" ht="18.75" thickBot="1">
      <c r="D44" s="935">
        <f t="shared" si="3"/>
        <v>39</v>
      </c>
      <c r="E44" s="938">
        <f t="shared" si="4"/>
        <v>65100</v>
      </c>
      <c r="F44" s="1128">
        <f t="shared" si="5"/>
        <v>0</v>
      </c>
      <c r="G44" s="1"/>
      <c r="H44" s="1149"/>
      <c r="I44" s="1629" t="s">
        <v>229</v>
      </c>
      <c r="J44" s="1630"/>
      <c r="K44" s="1630"/>
      <c r="L44" s="1630"/>
      <c r="M44" s="1630"/>
      <c r="N44" s="1630"/>
      <c r="O44" s="1630"/>
      <c r="P44" s="1630"/>
      <c r="Q44" s="1632"/>
      <c r="R44" s="1947">
        <f>AC56</f>
        <v>0</v>
      </c>
      <c r="S44" s="1947"/>
      <c r="T44" s="172"/>
      <c r="U44" s="1151"/>
      <c r="V44" s="1190"/>
      <c r="W44" s="391"/>
      <c r="X44" s="1139"/>
      <c r="AP44">
        <v>1000001</v>
      </c>
      <c r="AQ44">
        <v>20</v>
      </c>
      <c r="AX44" s="107" t="s">
        <v>6</v>
      </c>
      <c r="AY44" s="133" t="s">
        <v>408</v>
      </c>
      <c r="AZ44" s="134"/>
      <c r="BA44" s="107"/>
      <c r="BD44" s="123">
        <f>IF(R35&gt;700001,R35-O36-O37,IF(R35&lt;1000000,R35-O36-O37,0))</f>
        <v>0</v>
      </c>
      <c r="CQ44" s="32">
        <f t="shared" si="9"/>
        <v>65100</v>
      </c>
      <c r="CR44">
        <f t="shared" si="1"/>
        <v>1953</v>
      </c>
      <c r="CS44" s="917">
        <f t="shared" si="2"/>
        <v>2000</v>
      </c>
    </row>
    <row r="45" spans="4:97" ht="18.75" thickBot="1">
      <c r="D45" s="936">
        <f t="shared" si="3"/>
        <v>40</v>
      </c>
      <c r="E45" s="939">
        <f t="shared" si="4"/>
        <v>67100</v>
      </c>
      <c r="F45" s="1128">
        <f t="shared" si="5"/>
        <v>0</v>
      </c>
      <c r="G45" s="1"/>
      <c r="H45" s="26"/>
      <c r="I45" s="1629" t="s">
        <v>45</v>
      </c>
      <c r="J45" s="1630"/>
      <c r="K45" s="1630"/>
      <c r="L45" s="1630"/>
      <c r="M45" s="1630"/>
      <c r="N45" s="1630"/>
      <c r="O45" s="1630"/>
      <c r="P45" s="1630"/>
      <c r="Q45" s="1632"/>
      <c r="R45" s="1931">
        <f>R43-R44</f>
        <v>8376</v>
      </c>
      <c r="S45" s="1931"/>
      <c r="T45" s="57"/>
      <c r="U45" s="1"/>
      <c r="V45" s="33"/>
      <c r="W45" s="391"/>
      <c r="X45" s="1138"/>
      <c r="AP45">
        <v>1250001</v>
      </c>
      <c r="AQ45">
        <v>25</v>
      </c>
      <c r="AX45" s="107" t="s">
        <v>8</v>
      </c>
      <c r="AY45" s="133" t="s">
        <v>409</v>
      </c>
      <c r="AZ45" s="134"/>
      <c r="BA45" s="107"/>
      <c r="BD45" s="135">
        <f>IF(BD44&gt;250001,250000,IF(BD44&lt;250000,BD44,0))</f>
        <v>0</v>
      </c>
      <c r="CQ45" s="32">
        <f t="shared" si="9"/>
        <v>67100</v>
      </c>
      <c r="CR45">
        <f t="shared" si="1"/>
        <v>2013</v>
      </c>
      <c r="CS45" s="918">
        <f t="shared" si="2"/>
        <v>2000</v>
      </c>
    </row>
    <row r="46" spans="4:98" ht="18.75" thickBot="1">
      <c r="D46" s="9"/>
      <c r="G46" s="1"/>
      <c r="H46" s="26"/>
      <c r="I46" s="1629" t="s">
        <v>389</v>
      </c>
      <c r="J46" s="1630"/>
      <c r="K46" s="1630"/>
      <c r="L46" s="1630"/>
      <c r="M46" s="1630"/>
      <c r="N46" s="1630"/>
      <c r="O46" s="1630"/>
      <c r="P46" s="1630"/>
      <c r="Q46" s="1632"/>
      <c r="R46" s="1947">
        <f>ROUND(+R45*4%,0)</f>
        <v>335</v>
      </c>
      <c r="S46" s="1947"/>
      <c r="T46" s="57"/>
      <c r="U46" s="1"/>
      <c r="V46" s="33"/>
      <c r="W46" s="391"/>
      <c r="X46" s="1139"/>
      <c r="AP46">
        <v>1500001</v>
      </c>
      <c r="AQ46">
        <v>30</v>
      </c>
      <c r="AX46" s="107"/>
      <c r="AY46" s="134"/>
      <c r="AZ46" s="134"/>
      <c r="BA46" s="107"/>
      <c r="CQ46" s="34"/>
      <c r="CR46" s="1"/>
      <c r="CS46" s="929"/>
      <c r="CT46" s="1"/>
    </row>
    <row r="47" spans="4:98" ht="18.75" thickBot="1">
      <c r="D47" s="9"/>
      <c r="G47" s="1"/>
      <c r="H47" s="26"/>
      <c r="I47" s="1940" t="s">
        <v>49</v>
      </c>
      <c r="J47" s="1941"/>
      <c r="K47" s="1941"/>
      <c r="L47" s="1941"/>
      <c r="M47" s="1941"/>
      <c r="N47" s="1941"/>
      <c r="O47" s="1941"/>
      <c r="P47" s="1941"/>
      <c r="Q47" s="1942"/>
      <c r="R47" s="1971">
        <f>R45+R46</f>
        <v>8711</v>
      </c>
      <c r="S47" s="1971"/>
      <c r="T47" s="59"/>
      <c r="U47" s="1"/>
      <c r="V47" s="33"/>
      <c r="W47" s="391"/>
      <c r="X47" s="1138"/>
      <c r="Y47" s="1"/>
      <c r="AD47">
        <v>1050000</v>
      </c>
      <c r="AX47" s="107" t="s">
        <v>6</v>
      </c>
      <c r="AY47" s="145">
        <f>IF(AY21&gt;250000,250000,IF(AND(AY21&lt;250001),AY21,0))</f>
        <v>167510</v>
      </c>
      <c r="AZ47" s="134"/>
      <c r="BA47" s="107">
        <v>500000</v>
      </c>
      <c r="BD47" s="123">
        <f>IF(R35&gt;1000001,R35-O36-O37-O38,IF(R35&lt;1250000,R35-O36-O37-O38,0))</f>
        <v>0</v>
      </c>
      <c r="CQ47" s="34"/>
      <c r="CR47" s="1"/>
      <c r="CS47" s="929"/>
      <c r="CT47" s="1"/>
    </row>
    <row r="48" spans="7:98" ht="18.75" thickBot="1">
      <c r="G48" s="1"/>
      <c r="H48" s="26"/>
      <c r="I48" s="1945" t="str">
        <f>+WORKING!H53</f>
        <v>IT RECOVERED IN OTHER CIRCLE/ DIV.</v>
      </c>
      <c r="J48" s="1945"/>
      <c r="K48" s="1945"/>
      <c r="L48" s="1945"/>
      <c r="M48" s="1945"/>
      <c r="N48" s="1945"/>
      <c r="O48" s="1945"/>
      <c r="P48" s="1945"/>
      <c r="Q48" s="1945"/>
      <c r="R48" s="1943">
        <f>+WORKING!N53</f>
        <v>0</v>
      </c>
      <c r="S48" s="1944"/>
      <c r="T48" s="57"/>
      <c r="U48" s="1"/>
      <c r="V48" s="33"/>
      <c r="W48" s="391"/>
      <c r="AA48" s="11"/>
      <c r="AC48" s="11"/>
      <c r="AD48" t="e">
        <f>[3]!NUM2TEXT(AD47)</f>
        <v>#NAME?</v>
      </c>
      <c r="AI48" s="11"/>
      <c r="AX48" s="107" t="s">
        <v>8</v>
      </c>
      <c r="AY48" s="145">
        <f>IF(AY21&gt;250000,250000,IF(AND(AY21&lt;250001),AY21,0))</f>
        <v>167510</v>
      </c>
      <c r="AZ48" s="134"/>
      <c r="BA48" s="107">
        <v>250000</v>
      </c>
      <c r="BD48" s="135">
        <f>IF(BD47&gt;250001,250000,IF(BD47&lt;250000,BD47,0))</f>
        <v>0</v>
      </c>
      <c r="CQ48" s="34"/>
      <c r="CR48" s="1"/>
      <c r="CS48" s="929"/>
      <c r="CT48" s="1"/>
    </row>
    <row r="49" spans="7:98" ht="18.75" thickBot="1">
      <c r="G49" s="1"/>
      <c r="H49" s="26"/>
      <c r="I49" s="1676"/>
      <c r="J49" s="1677"/>
      <c r="K49" s="1677"/>
      <c r="L49" s="1677"/>
      <c r="M49" s="1677"/>
      <c r="N49" s="1677"/>
      <c r="O49" s="1677"/>
      <c r="P49" s="1677"/>
      <c r="Q49" s="1960"/>
      <c r="R49" s="1961">
        <f>+R47-R48</f>
        <v>8711</v>
      </c>
      <c r="S49" s="1962"/>
      <c r="T49" s="57"/>
      <c r="U49" s="1"/>
      <c r="V49" s="33"/>
      <c r="W49" s="391"/>
      <c r="X49" s="1144"/>
      <c r="Y49" s="1144"/>
      <c r="Z49" s="1142"/>
      <c r="AA49" s="1144"/>
      <c r="AB49" s="1142"/>
      <c r="AC49" s="1142"/>
      <c r="AD49" s="1142"/>
      <c r="AI49" s="11"/>
      <c r="AX49" s="107"/>
      <c r="AY49" s="107"/>
      <c r="AZ49" s="107"/>
      <c r="BA49" s="107">
        <f>+BA47-BA48</f>
        <v>250000</v>
      </c>
      <c r="CQ49" s="34"/>
      <c r="CR49" s="1"/>
      <c r="CS49" s="929"/>
      <c r="CT49" s="1"/>
    </row>
    <row r="50" spans="7:98" ht="18">
      <c r="G50" s="1"/>
      <c r="H50" s="1727" t="s">
        <v>429</v>
      </c>
      <c r="I50" s="1728"/>
      <c r="J50" s="1728"/>
      <c r="K50" s="1728"/>
      <c r="L50" s="1728"/>
      <c r="M50" s="1728"/>
      <c r="N50" s="1728"/>
      <c r="O50" s="1728"/>
      <c r="P50" s="1728"/>
      <c r="Q50" s="1728"/>
      <c r="R50" s="1728"/>
      <c r="S50" s="1728"/>
      <c r="T50" s="1728"/>
      <c r="U50" s="1728"/>
      <c r="V50" s="1729"/>
      <c r="W50" s="391"/>
      <c r="X50" s="1141"/>
      <c r="Y50" s="1142"/>
      <c r="Z50" s="1142"/>
      <c r="AA50" s="1144"/>
      <c r="AB50" s="1145"/>
      <c r="AC50" s="1142"/>
      <c r="AD50" s="1142"/>
      <c r="BD50" s="123">
        <f>IF(R35&gt;1250001,R35-O36-O37-O38-O39,IF(R35&lt;1500000,R35-O36-O37-O38-O39,0))</f>
        <v>0</v>
      </c>
      <c r="CQ50" s="34"/>
      <c r="CR50" s="1"/>
      <c r="CS50" s="929"/>
      <c r="CT50" s="1"/>
    </row>
    <row r="51" spans="7:98" ht="18">
      <c r="G51" s="1"/>
      <c r="H51" s="1727" t="s">
        <v>428</v>
      </c>
      <c r="I51" s="1728"/>
      <c r="J51" s="1728"/>
      <c r="K51" s="1728"/>
      <c r="L51" s="1728"/>
      <c r="M51" s="1728"/>
      <c r="N51" s="1728"/>
      <c r="O51" s="1728"/>
      <c r="P51" s="1728"/>
      <c r="Q51" s="1728"/>
      <c r="R51" s="1728"/>
      <c r="S51" s="1728"/>
      <c r="T51" s="1728"/>
      <c r="U51" s="1728"/>
      <c r="V51" s="1729"/>
      <c r="W51" s="391"/>
      <c r="X51" s="1141"/>
      <c r="Y51" s="1144"/>
      <c r="Z51" s="1142"/>
      <c r="AA51" s="1144"/>
      <c r="AB51" s="1142"/>
      <c r="AC51" s="1142"/>
      <c r="AD51" s="1142"/>
      <c r="BD51" s="135">
        <f>IF(BD50&gt;250001,250000,IF(BD50&lt;250000,BD50,0))</f>
        <v>0</v>
      </c>
      <c r="CQ51" s="34"/>
      <c r="CR51" s="1"/>
      <c r="CS51" s="929"/>
      <c r="CT51" s="1"/>
    </row>
    <row r="52" spans="7:98" ht="18.75" thickBot="1">
      <c r="G52" s="1"/>
      <c r="H52" s="50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2" t="s">
        <v>50</v>
      </c>
      <c r="U52" s="51"/>
      <c r="V52" s="53"/>
      <c r="W52" s="391"/>
      <c r="X52" s="1141"/>
      <c r="Y52" s="1142"/>
      <c r="Z52" s="1142"/>
      <c r="AA52" s="1144"/>
      <c r="AB52" s="1142"/>
      <c r="AC52" s="1142"/>
      <c r="AD52" s="1142"/>
      <c r="CQ52" s="34"/>
      <c r="CR52" s="1"/>
      <c r="CS52" s="929"/>
      <c r="CT52" s="1"/>
    </row>
    <row r="53" spans="7:98" ht="18">
      <c r="G53" s="1"/>
      <c r="H53" s="7"/>
      <c r="I53" s="1153"/>
      <c r="J53" s="1153"/>
      <c r="K53" s="1153"/>
      <c r="L53" s="1153"/>
      <c r="M53" s="1153"/>
      <c r="N53" s="1153"/>
      <c r="O53" s="1150"/>
      <c r="P53" s="7"/>
      <c r="Q53" s="7"/>
      <c r="R53" s="1"/>
      <c r="S53" s="1"/>
      <c r="T53" s="1"/>
      <c r="U53" s="1"/>
      <c r="V53" s="1"/>
      <c r="W53" s="391"/>
      <c r="X53" s="1141"/>
      <c r="Y53" s="1142"/>
      <c r="Z53" s="1142"/>
      <c r="AA53" s="1144"/>
      <c r="AB53" s="1142"/>
      <c r="AC53" s="1142"/>
      <c r="AD53" s="1142"/>
      <c r="CQ53" s="34"/>
      <c r="CR53" s="1"/>
      <c r="CS53" s="929"/>
      <c r="CT53" s="1"/>
    </row>
    <row r="54" spans="7:98" ht="18">
      <c r="G54" s="1"/>
      <c r="H54" s="1142"/>
      <c r="I54" s="1966"/>
      <c r="J54" s="1966"/>
      <c r="K54" s="1966"/>
      <c r="L54" s="1966"/>
      <c r="M54" s="1966"/>
      <c r="N54" s="1966"/>
      <c r="O54" s="1154"/>
      <c r="P54" s="1142"/>
      <c r="Q54" s="1142"/>
      <c r="R54" s="1142"/>
      <c r="S54" s="1142"/>
      <c r="T54" s="1142"/>
      <c r="U54" s="1142"/>
      <c r="V54" s="1142"/>
      <c r="W54" s="391"/>
      <c r="X54" s="1141"/>
      <c r="Y54" s="1142"/>
      <c r="Z54" s="1142"/>
      <c r="AA54" s="1142"/>
      <c r="AB54" s="1142"/>
      <c r="AC54" s="1142"/>
      <c r="AD54" s="1142"/>
      <c r="CQ54" s="34"/>
      <c r="CR54" s="1"/>
      <c r="CS54" s="929"/>
      <c r="CT54" s="1"/>
    </row>
    <row r="55" spans="7:98" ht="18">
      <c r="G55" s="1"/>
      <c r="H55" s="1142"/>
      <c r="I55" s="1958"/>
      <c r="J55" s="1958"/>
      <c r="K55" s="1958"/>
      <c r="L55" s="1958"/>
      <c r="M55" s="1958"/>
      <c r="N55" s="1958"/>
      <c r="O55" s="1154"/>
      <c r="P55" s="1142"/>
      <c r="Q55" s="1151"/>
      <c r="R55" s="1142"/>
      <c r="S55" s="1142"/>
      <c r="T55" s="1142"/>
      <c r="U55" s="1142"/>
      <c r="V55" s="1142"/>
      <c r="W55" s="391"/>
      <c r="X55" s="1142"/>
      <c r="Y55" s="1142"/>
      <c r="Z55" s="1142"/>
      <c r="AA55" s="1142"/>
      <c r="AB55" s="1142"/>
      <c r="AC55" s="1142"/>
      <c r="AD55" s="1142"/>
      <c r="CQ55" s="34"/>
      <c r="CR55" s="1"/>
      <c r="CS55" s="929"/>
      <c r="CT55" s="1"/>
    </row>
    <row r="56" spans="1:98" ht="18">
      <c r="A56" s="1"/>
      <c r="B56" s="1970"/>
      <c r="C56" s="1967"/>
      <c r="D56" s="1967"/>
      <c r="E56" s="1967"/>
      <c r="F56" s="1967"/>
      <c r="G56" s="1"/>
      <c r="H56" s="1142"/>
      <c r="I56" s="1968"/>
      <c r="J56" s="1968"/>
      <c r="K56" s="1968"/>
      <c r="L56" s="1968"/>
      <c r="M56" s="1968"/>
      <c r="N56" s="1968"/>
      <c r="O56" s="1169"/>
      <c r="P56" s="1142"/>
      <c r="Q56" s="1151"/>
      <c r="R56" s="1142"/>
      <c r="S56" s="1142"/>
      <c r="T56" s="1142"/>
      <c r="U56" s="1142"/>
      <c r="V56" s="1142"/>
      <c r="W56" s="391"/>
      <c r="X56" s="1143"/>
      <c r="Y56" s="1146"/>
      <c r="Z56" s="1142"/>
      <c r="AA56" s="1142"/>
      <c r="AB56" s="1147"/>
      <c r="AC56" s="1148"/>
      <c r="AD56" s="1142"/>
      <c r="CQ56" s="34"/>
      <c r="CR56" s="1"/>
      <c r="CS56" s="929"/>
      <c r="CT56" s="1"/>
    </row>
    <row r="57" spans="1:98" ht="18">
      <c r="A57" s="1"/>
      <c r="B57" s="1970"/>
      <c r="C57" s="1415"/>
      <c r="D57" s="1"/>
      <c r="E57" s="1957"/>
      <c r="F57" s="1957"/>
      <c r="G57" s="1"/>
      <c r="H57" s="1142"/>
      <c r="I57" s="1958"/>
      <c r="J57" s="1958"/>
      <c r="K57" s="1958"/>
      <c r="L57" s="1958"/>
      <c r="M57" s="1958"/>
      <c r="N57" s="1958"/>
      <c r="O57" s="1154"/>
      <c r="P57" s="1142"/>
      <c r="Q57" s="1151"/>
      <c r="R57" s="1142"/>
      <c r="S57" s="1142"/>
      <c r="T57" s="1142"/>
      <c r="U57" s="1142"/>
      <c r="V57" s="1142"/>
      <c r="W57" s="391"/>
      <c r="X57" s="1142"/>
      <c r="Y57" s="1142"/>
      <c r="Z57" s="1142"/>
      <c r="AA57" s="1142"/>
      <c r="AB57" s="1142"/>
      <c r="AC57" s="1142"/>
      <c r="AD57" s="1142"/>
      <c r="CQ57" s="34"/>
      <c r="CR57" s="1"/>
      <c r="CS57" s="929"/>
      <c r="CT57" s="1"/>
    </row>
    <row r="58" spans="1:98" ht="18">
      <c r="A58" s="1"/>
      <c r="B58" s="1970"/>
      <c r="C58" s="1"/>
      <c r="D58" s="1416"/>
      <c r="E58" s="1963"/>
      <c r="F58" s="1957"/>
      <c r="G58" s="1"/>
      <c r="H58" s="1142"/>
      <c r="I58" s="1964"/>
      <c r="J58" s="1964"/>
      <c r="K58" s="1964"/>
      <c r="L58" s="1964"/>
      <c r="M58" s="1964"/>
      <c r="N58" s="1964"/>
      <c r="O58" s="1154"/>
      <c r="P58" s="1142"/>
      <c r="Q58" s="1151"/>
      <c r="R58" s="1142"/>
      <c r="S58" s="1142"/>
      <c r="T58" s="1142"/>
      <c r="U58" s="1142"/>
      <c r="V58" s="1142"/>
      <c r="W58" s="391"/>
      <c r="X58" s="1142"/>
      <c r="Y58" s="1142"/>
      <c r="Z58" s="1142"/>
      <c r="AA58" s="1142"/>
      <c r="AB58" s="1147"/>
      <c r="AC58" s="1142"/>
      <c r="AD58" s="1142"/>
      <c r="CQ58" s="1"/>
      <c r="CR58" s="1"/>
      <c r="CS58" s="929"/>
      <c r="CT58" s="1"/>
    </row>
    <row r="59" spans="1:98" ht="18">
      <c r="A59" s="1"/>
      <c r="B59" s="1970"/>
      <c r="C59" s="1"/>
      <c r="D59" s="1"/>
      <c r="E59" s="1963"/>
      <c r="F59" s="1957"/>
      <c r="G59" s="1"/>
      <c r="H59" s="1142"/>
      <c r="I59" s="1965"/>
      <c r="J59" s="1965"/>
      <c r="K59" s="1965"/>
      <c r="L59" s="1965"/>
      <c r="M59" s="1965"/>
      <c r="N59" s="1965"/>
      <c r="O59" s="1170"/>
      <c r="P59" s="1142"/>
      <c r="Q59" s="1151"/>
      <c r="R59" s="1142"/>
      <c r="S59" s="1142"/>
      <c r="T59" s="1142"/>
      <c r="U59" s="1142"/>
      <c r="V59" s="1142"/>
      <c r="W59" s="391"/>
      <c r="CQ59" s="1"/>
      <c r="CR59" s="1"/>
      <c r="CS59" s="929"/>
      <c r="CT59" s="1"/>
    </row>
    <row r="60" spans="1:98" ht="26.25" customHeight="1">
      <c r="A60" s="1"/>
      <c r="B60" s="1970"/>
      <c r="C60" s="1"/>
      <c r="D60" s="1"/>
      <c r="E60" s="1957"/>
      <c r="F60" s="1957"/>
      <c r="G60" s="1"/>
      <c r="H60" s="1959"/>
      <c r="I60" s="1959"/>
      <c r="J60" s="1959"/>
      <c r="K60" s="1959"/>
      <c r="L60" s="1959"/>
      <c r="M60" s="1959"/>
      <c r="N60" s="1959"/>
      <c r="O60" s="1959"/>
      <c r="P60" s="1959"/>
      <c r="Q60" s="1959"/>
      <c r="R60" s="1959"/>
      <c r="S60" s="1959"/>
      <c r="T60" s="1959"/>
      <c r="U60" s="1959"/>
      <c r="V60" s="1959"/>
      <c r="CQ60" s="1"/>
      <c r="CR60" s="1"/>
      <c r="CS60" s="929"/>
      <c r="CT60" s="1"/>
    </row>
    <row r="61" spans="1:98" ht="18">
      <c r="A61" s="1"/>
      <c r="B61" s="1970"/>
      <c r="C61" s="1"/>
      <c r="D61" s="1"/>
      <c r="E61" s="1957"/>
      <c r="F61" s="195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AL61" s="2"/>
      <c r="AM61" s="46"/>
      <c r="AN61" s="1"/>
      <c r="AO61" s="1"/>
      <c r="AP61" s="1"/>
      <c r="AQ61" s="1"/>
      <c r="CQ61" s="1"/>
      <c r="CR61" s="1"/>
      <c r="CS61" s="929"/>
      <c r="CT61" s="1"/>
    </row>
    <row r="62" spans="1:98" ht="18">
      <c r="A62" s="1"/>
      <c r="B62" s="1970"/>
      <c r="C62" s="1"/>
      <c r="D62" s="1"/>
      <c r="E62" s="1957"/>
      <c r="F62" s="195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AL62" s="2"/>
      <c r="AM62" s="46"/>
      <c r="AN62" s="1"/>
      <c r="AO62" s="1"/>
      <c r="AP62" s="1"/>
      <c r="AQ62" s="1"/>
      <c r="CQ62" s="1"/>
      <c r="CR62" s="1"/>
      <c r="CS62" s="929"/>
      <c r="CT62" s="1"/>
    </row>
    <row r="63" spans="1:98" ht="18">
      <c r="A63" s="1"/>
      <c r="B63" s="1970"/>
      <c r="C63" s="1"/>
      <c r="D63" s="1"/>
      <c r="E63" s="1957"/>
      <c r="F63" s="195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AL63" s="2"/>
      <c r="AM63" s="46"/>
      <c r="AN63" s="1"/>
      <c r="AO63" s="1"/>
      <c r="AP63" s="1"/>
      <c r="AQ63" s="1"/>
      <c r="CQ63" s="1"/>
      <c r="CR63" s="1"/>
      <c r="CS63" s="929"/>
      <c r="CT63" s="1"/>
    </row>
    <row r="64" spans="1:98" ht="18">
      <c r="A64" s="1"/>
      <c r="B64" s="1"/>
      <c r="C64" s="1"/>
      <c r="D64" s="1"/>
      <c r="E64" s="1"/>
      <c r="G64" s="1"/>
      <c r="H64" s="1"/>
      <c r="I64" s="1"/>
      <c r="J64" s="3"/>
      <c r="K64" s="3"/>
      <c r="L64" s="3"/>
      <c r="M64" s="3"/>
      <c r="N64" s="3"/>
      <c r="O64" s="3"/>
      <c r="P64" s="1"/>
      <c r="Q64" s="1"/>
      <c r="R64" s="1"/>
      <c r="S64" s="1"/>
      <c r="T64" s="1"/>
      <c r="U64" s="1"/>
      <c r="V64" s="1"/>
      <c r="AL64" s="1"/>
      <c r="AM64" s="34"/>
      <c r="AN64" s="34"/>
      <c r="AO64" s="1"/>
      <c r="AP64" s="1"/>
      <c r="AQ64" s="1"/>
      <c r="CQ64" s="1"/>
      <c r="CR64" s="1"/>
      <c r="CS64" s="929"/>
      <c r="CT64" s="1"/>
    </row>
    <row r="65" spans="1:98" ht="18">
      <c r="A65" s="1"/>
      <c r="B65" s="1"/>
      <c r="C65" s="1"/>
      <c r="D65" s="1"/>
      <c r="E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AK65" s="3"/>
      <c r="CQ65" s="1"/>
      <c r="CR65" s="1"/>
      <c r="CS65" s="929"/>
      <c r="CT65" s="1"/>
    </row>
    <row r="66" spans="1:98" ht="18">
      <c r="A66" s="1"/>
      <c r="B66" s="1969"/>
      <c r="C66" s="1967"/>
      <c r="D66" s="1967"/>
      <c r="E66" s="1967"/>
      <c r="F66" s="1967"/>
      <c r="G66" s="1"/>
      <c r="H66" s="1417"/>
      <c r="I66" s="1418"/>
      <c r="J66" s="1419"/>
      <c r="K66" s="1"/>
      <c r="L66" s="1"/>
      <c r="M66" s="1"/>
      <c r="N66" s="1"/>
      <c r="O66" s="47"/>
      <c r="P66" s="1"/>
      <c r="Q66" s="1"/>
      <c r="R66" s="1"/>
      <c r="S66" s="1"/>
      <c r="T66" s="1"/>
      <c r="U66" s="1"/>
      <c r="V66" s="1"/>
      <c r="AK66" s="3"/>
      <c r="CQ66" s="1"/>
      <c r="CR66" s="1"/>
      <c r="CS66" s="929"/>
      <c r="CT66" s="1"/>
    </row>
    <row r="67" spans="1:98" ht="18">
      <c r="A67" s="1"/>
      <c r="B67" s="1969"/>
      <c r="C67" s="1415"/>
      <c r="D67" s="331"/>
      <c r="E67" s="1415"/>
      <c r="F67" s="331"/>
      <c r="G67" s="1"/>
      <c r="H67" s="1"/>
      <c r="I67" s="1"/>
      <c r="J67" s="1"/>
      <c r="K67" s="1"/>
      <c r="L67" s="1"/>
      <c r="M67" s="1"/>
      <c r="N67" s="1"/>
      <c r="O67" s="47"/>
      <c r="P67" s="1"/>
      <c r="Q67" s="1"/>
      <c r="R67" s="1"/>
      <c r="S67" s="1"/>
      <c r="T67" s="1"/>
      <c r="U67" s="1"/>
      <c r="V67" s="1"/>
      <c r="AK67" s="3"/>
      <c r="CQ67" s="1"/>
      <c r="CR67" s="1"/>
      <c r="CS67" s="929"/>
      <c r="CT67" s="1"/>
    </row>
    <row r="68" spans="1:98" ht="18">
      <c r="A68" s="1"/>
      <c r="B68" s="1969"/>
      <c r="C68" s="1420"/>
      <c r="D68" s="1421"/>
      <c r="E68" s="1139"/>
      <c r="F68" s="33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AK68" s="3"/>
      <c r="CQ68" s="1"/>
      <c r="CR68" s="1"/>
      <c r="CS68" s="929"/>
      <c r="CT68" s="1"/>
    </row>
    <row r="69" spans="1:98" ht="18">
      <c r="A69" s="1"/>
      <c r="B69" s="1969"/>
      <c r="C69" s="1415"/>
      <c r="D69" s="1415"/>
      <c r="E69" s="1422"/>
      <c r="F69" s="331"/>
      <c r="G69" s="1"/>
      <c r="H69" s="1"/>
      <c r="I69" s="1"/>
      <c r="J69" s="1"/>
      <c r="K69" s="1"/>
      <c r="L69" s="1"/>
      <c r="M69" s="1"/>
      <c r="N69" s="1"/>
      <c r="O69" s="22"/>
      <c r="P69" s="1"/>
      <c r="Q69" s="1"/>
      <c r="R69" s="1"/>
      <c r="S69" s="1"/>
      <c r="T69" s="1"/>
      <c r="U69" s="1"/>
      <c r="V69" s="1"/>
      <c r="AK69" s="3"/>
      <c r="CQ69" s="1"/>
      <c r="CR69" s="1"/>
      <c r="CS69" s="929"/>
      <c r="CT69" s="1"/>
    </row>
    <row r="70" spans="1:98" ht="18">
      <c r="A70" s="1"/>
      <c r="B70" s="1969"/>
      <c r="C70" s="1415"/>
      <c r="D70" s="1415"/>
      <c r="E70" s="331"/>
      <c r="F70" s="331"/>
      <c r="G70" s="1"/>
      <c r="H70" s="35"/>
      <c r="I70" s="35"/>
      <c r="J70" s="35"/>
      <c r="K70" s="3"/>
      <c r="L70" s="3"/>
      <c r="M70" s="3"/>
      <c r="N70" s="3"/>
      <c r="O70" s="22"/>
      <c r="P70" s="3"/>
      <c r="Q70" s="3"/>
      <c r="R70" s="3"/>
      <c r="S70" s="1"/>
      <c r="T70" s="1"/>
      <c r="U70" s="1"/>
      <c r="V70" s="1"/>
      <c r="AK70" s="3"/>
      <c r="CQ70" s="1"/>
      <c r="CR70" s="1"/>
      <c r="CS70" s="929"/>
      <c r="CT70" s="1"/>
    </row>
    <row r="71" spans="1:98" ht="18">
      <c r="A71" s="1"/>
      <c r="B71" s="1969"/>
      <c r="C71" s="1415"/>
      <c r="D71" s="1415"/>
      <c r="E71" s="331"/>
      <c r="F71" s="331"/>
      <c r="G71" s="1"/>
      <c r="H71" s="3"/>
      <c r="I71" s="3"/>
      <c r="J71" s="3"/>
      <c r="K71" s="3"/>
      <c r="L71" s="3"/>
      <c r="M71" s="1"/>
      <c r="N71" s="1"/>
      <c r="O71" s="22"/>
      <c r="P71" s="36"/>
      <c r="Q71" s="3"/>
      <c r="R71" s="3"/>
      <c r="S71" s="1"/>
      <c r="T71" s="1"/>
      <c r="U71" s="1"/>
      <c r="V71" s="1"/>
      <c r="AK71" s="3"/>
      <c r="CQ71" s="1"/>
      <c r="CR71" s="1"/>
      <c r="CS71" s="929"/>
      <c r="CT71" s="1"/>
    </row>
    <row r="72" spans="1:98" ht="18">
      <c r="A72" s="1"/>
      <c r="B72" s="1969"/>
      <c r="C72" s="1415"/>
      <c r="D72" s="1415"/>
      <c r="E72" s="331"/>
      <c r="F72" s="331"/>
      <c r="G72" s="1"/>
      <c r="H72" s="3"/>
      <c r="I72" s="3"/>
      <c r="J72" s="3"/>
      <c r="K72" s="3"/>
      <c r="L72" s="3"/>
      <c r="M72" s="1"/>
      <c r="N72" s="1"/>
      <c r="O72" s="3"/>
      <c r="P72" s="36"/>
      <c r="Q72" s="3"/>
      <c r="R72" s="3"/>
      <c r="S72" s="37"/>
      <c r="T72" s="37"/>
      <c r="U72" s="37"/>
      <c r="V72" s="1"/>
      <c r="AK72" s="3"/>
      <c r="CQ72" s="1"/>
      <c r="CR72" s="1"/>
      <c r="CS72" s="929"/>
      <c r="CT72" s="1"/>
    </row>
    <row r="73" spans="1:98" ht="18">
      <c r="A73" s="1"/>
      <c r="B73" s="1969"/>
      <c r="C73" s="1415"/>
      <c r="D73" s="1415"/>
      <c r="E73" s="1415"/>
      <c r="F73" s="331"/>
      <c r="G73" s="1"/>
      <c r="H73" s="5"/>
      <c r="I73" s="5"/>
      <c r="J73" s="5"/>
      <c r="K73" s="5"/>
      <c r="L73" s="5"/>
      <c r="M73" s="5"/>
      <c r="N73" s="1"/>
      <c r="O73" s="3"/>
      <c r="P73" s="36"/>
      <c r="Q73" s="3"/>
      <c r="R73" s="3"/>
      <c r="S73" s="1"/>
      <c r="T73" s="1"/>
      <c r="U73" s="1"/>
      <c r="V73" s="1"/>
      <c r="AK73" s="3"/>
      <c r="CQ73" s="1"/>
      <c r="CR73" s="1"/>
      <c r="CS73" s="929"/>
      <c r="CT73" s="1"/>
    </row>
    <row r="74" spans="8:98" ht="18">
      <c r="H74" s="3"/>
      <c r="I74" s="3"/>
      <c r="J74" s="3"/>
      <c r="K74" s="3"/>
      <c r="L74" s="3"/>
      <c r="M74" s="3"/>
      <c r="N74" s="1"/>
      <c r="O74" s="1"/>
      <c r="P74" s="36"/>
      <c r="Q74" s="3"/>
      <c r="R74" s="3"/>
      <c r="S74" s="37"/>
      <c r="T74" s="22"/>
      <c r="U74" s="37"/>
      <c r="V74" s="1"/>
      <c r="AK74" s="1"/>
      <c r="CQ74" s="1"/>
      <c r="CR74" s="1"/>
      <c r="CS74" s="929"/>
      <c r="CT74" s="1"/>
    </row>
    <row r="75" spans="8:98" ht="18">
      <c r="H75" s="3"/>
      <c r="I75" s="3"/>
      <c r="J75" s="3"/>
      <c r="K75" s="3"/>
      <c r="L75" s="3"/>
      <c r="M75" s="3"/>
      <c r="N75" s="3"/>
      <c r="O75" s="3"/>
      <c r="P75" s="36"/>
      <c r="Q75" s="3"/>
      <c r="R75" s="3"/>
      <c r="S75" s="1"/>
      <c r="T75" s="1"/>
      <c r="U75" s="1"/>
      <c r="V75" s="1"/>
      <c r="CQ75" s="1"/>
      <c r="CR75" s="1"/>
      <c r="CS75" s="929"/>
      <c r="CT75" s="1"/>
    </row>
    <row r="76" spans="8:98" ht="18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7"/>
      <c r="T76" s="37"/>
      <c r="U76" s="37"/>
      <c r="V76" s="1"/>
      <c r="CQ76" s="1"/>
      <c r="CR76" s="1"/>
      <c r="CS76" s="929"/>
      <c r="CT76" s="1"/>
    </row>
    <row r="77" spans="8:98" ht="18">
      <c r="H77" s="12"/>
      <c r="I77" s="12"/>
      <c r="J77" s="12"/>
      <c r="K77" s="12"/>
      <c r="L77" s="12"/>
      <c r="M77" s="12"/>
      <c r="N77" s="12"/>
      <c r="O77" s="12"/>
      <c r="P77" s="3"/>
      <c r="Q77" s="3"/>
      <c r="R77" s="3"/>
      <c r="S77" s="1"/>
      <c r="T77" s="1"/>
      <c r="U77" s="1"/>
      <c r="V77" s="1"/>
      <c r="CQ77" s="1"/>
      <c r="CR77" s="1"/>
      <c r="CS77" s="929"/>
      <c r="CT77" s="1"/>
    </row>
    <row r="78" spans="8:98" ht="18">
      <c r="H78" s="3"/>
      <c r="I78" s="3"/>
      <c r="J78" s="3"/>
      <c r="K78" s="3"/>
      <c r="L78" s="3"/>
      <c r="M78" s="3"/>
      <c r="N78" s="3"/>
      <c r="O78" s="4"/>
      <c r="P78" s="3"/>
      <c r="Q78" s="1"/>
      <c r="R78" s="1"/>
      <c r="S78" s="37"/>
      <c r="T78" s="37"/>
      <c r="U78" s="37"/>
      <c r="V78" s="1"/>
      <c r="CQ78" s="1"/>
      <c r="CR78" s="1"/>
      <c r="CS78" s="929"/>
      <c r="CT78" s="1"/>
    </row>
    <row r="79" spans="8:98" ht="18">
      <c r="H79" s="3"/>
      <c r="I79" s="3"/>
      <c r="J79" s="3"/>
      <c r="K79" s="3"/>
      <c r="L79" s="3"/>
      <c r="M79" s="3"/>
      <c r="N79" s="3"/>
      <c r="O79" s="3"/>
      <c r="P79" s="1"/>
      <c r="Q79" s="3"/>
      <c r="R79" s="1"/>
      <c r="S79" s="37"/>
      <c r="T79" s="1"/>
      <c r="U79" s="37"/>
      <c r="V79" s="1"/>
      <c r="CQ79" s="1"/>
      <c r="CR79" s="1"/>
      <c r="CS79" s="929"/>
      <c r="CT79" s="1"/>
    </row>
    <row r="80" spans="15:98" ht="18">
      <c r="O80" s="1"/>
      <c r="P80" s="1"/>
      <c r="Q80" s="1"/>
      <c r="R80" s="1"/>
      <c r="S80" s="1"/>
      <c r="T80" s="1"/>
      <c r="U80" s="1"/>
      <c r="V80" s="1"/>
      <c r="CQ80" s="1"/>
      <c r="CR80" s="1"/>
      <c r="CS80" s="929"/>
      <c r="CT80" s="1"/>
    </row>
    <row r="81" spans="15:98" ht="18">
      <c r="O81" s="1"/>
      <c r="P81" s="1"/>
      <c r="Q81" s="1"/>
      <c r="R81" s="1"/>
      <c r="S81" s="1"/>
      <c r="T81" s="37"/>
      <c r="U81" s="37"/>
      <c r="V81" s="1"/>
      <c r="CQ81" s="1"/>
      <c r="CR81" s="1"/>
      <c r="CS81" s="929"/>
      <c r="CT81" s="1"/>
    </row>
    <row r="82" spans="15:98" ht="18">
      <c r="O82" s="1"/>
      <c r="P82" s="1"/>
      <c r="Q82" s="1"/>
      <c r="R82" s="1"/>
      <c r="S82" s="1"/>
      <c r="T82" s="1"/>
      <c r="U82" s="37"/>
      <c r="V82" s="1"/>
      <c r="CQ82" s="1"/>
      <c r="CR82" s="1"/>
      <c r="CS82" s="929"/>
      <c r="CT82" s="1"/>
    </row>
    <row r="83" spans="15:98" ht="18">
      <c r="O83" s="1"/>
      <c r="P83" s="1"/>
      <c r="Q83" s="1"/>
      <c r="R83" s="1"/>
      <c r="S83" s="1"/>
      <c r="T83" s="1"/>
      <c r="U83" s="1"/>
      <c r="V83" s="1"/>
      <c r="CQ83" s="1"/>
      <c r="CR83" s="1"/>
      <c r="CS83" s="929"/>
      <c r="CT83" s="1"/>
    </row>
    <row r="84" spans="95:98" ht="18">
      <c r="CQ84" s="1"/>
      <c r="CR84" s="1"/>
      <c r="CS84" s="929"/>
      <c r="CT84" s="1"/>
    </row>
    <row r="85" spans="95:98" ht="18">
      <c r="CQ85" s="1"/>
      <c r="CR85" s="1"/>
      <c r="CS85" s="929"/>
      <c r="CT85" s="1"/>
    </row>
    <row r="86" spans="95:98" ht="18.75" thickBot="1">
      <c r="CQ86" s="1"/>
      <c r="CR86" s="1"/>
      <c r="CS86" s="929"/>
      <c r="CT86" s="1"/>
    </row>
    <row r="87" spans="6:98" ht="18">
      <c r="F87" s="4"/>
      <c r="G87" s="480"/>
      <c r="H87" s="480"/>
      <c r="I87" s="480"/>
      <c r="J87" s="480"/>
      <c r="K87" s="480"/>
      <c r="L87" s="480"/>
      <c r="M87" s="480"/>
      <c r="N87" s="480"/>
      <c r="O87" s="480"/>
      <c r="P87" s="480"/>
      <c r="Q87" s="480"/>
      <c r="R87" s="480"/>
      <c r="S87" s="481"/>
      <c r="CQ87" s="1"/>
      <c r="CR87" s="1"/>
      <c r="CS87" s="929"/>
      <c r="CT87" s="1"/>
    </row>
    <row r="88" spans="6:98" ht="18"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483"/>
      <c r="CQ88" s="1"/>
      <c r="CR88" s="1"/>
      <c r="CS88" s="929"/>
      <c r="CT88" s="1"/>
    </row>
    <row r="89" spans="6:98" ht="18"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483"/>
      <c r="CQ89" s="1"/>
      <c r="CR89" s="1"/>
      <c r="CS89" s="929"/>
      <c r="CT89" s="1"/>
    </row>
    <row r="90" spans="6:98" ht="20.25">
      <c r="F90" s="1691" t="s">
        <v>302</v>
      </c>
      <c r="G90" s="1692"/>
      <c r="H90" s="1692"/>
      <c r="I90" s="1692"/>
      <c r="J90" s="1692"/>
      <c r="K90" s="1692"/>
      <c r="L90" s="1692"/>
      <c r="M90" s="1692"/>
      <c r="N90" s="1692"/>
      <c r="O90" s="1692"/>
      <c r="P90" s="1692"/>
      <c r="Q90" s="1692"/>
      <c r="R90" s="1692"/>
      <c r="S90" s="1693"/>
      <c r="CQ90" s="1"/>
      <c r="CR90" s="1"/>
      <c r="CS90" s="929"/>
      <c r="CT90" s="1"/>
    </row>
    <row r="91" spans="6:98" ht="18">
      <c r="F91" s="195"/>
      <c r="G91" s="195"/>
      <c r="H91" s="197"/>
      <c r="I91" s="197"/>
      <c r="J91" s="197"/>
      <c r="K91" s="7"/>
      <c r="L91" s="7"/>
      <c r="M91" s="7"/>
      <c r="N91" s="7"/>
      <c r="O91" s="198"/>
      <c r="P91" s="7"/>
      <c r="Q91" s="7"/>
      <c r="R91" s="195"/>
      <c r="S91" s="185"/>
      <c r="T91" s="1"/>
      <c r="CQ91" s="1"/>
      <c r="CR91" s="1"/>
      <c r="CS91" s="929"/>
      <c r="CT91" s="1"/>
    </row>
    <row r="92" spans="6:98" ht="18">
      <c r="F92" s="195"/>
      <c r="G92" s="195"/>
      <c r="H92" s="199" t="s">
        <v>84</v>
      </c>
      <c r="I92" s="195"/>
      <c r="J92" s="195" t="s">
        <v>85</v>
      </c>
      <c r="K92" s="195"/>
      <c r="L92" s="195"/>
      <c r="M92" s="200" t="s">
        <v>36</v>
      </c>
      <c r="N92" s="195"/>
      <c r="O92" s="586">
        <f>+I23</f>
        <v>308800</v>
      </c>
      <c r="P92" s="195"/>
      <c r="Q92" s="195"/>
      <c r="R92" s="195"/>
      <c r="S92" s="483"/>
      <c r="CQ92" s="1"/>
      <c r="CR92" s="1"/>
      <c r="CS92" s="929"/>
      <c r="CT92" s="1"/>
    </row>
    <row r="93" spans="6:98" ht="18">
      <c r="F93" s="195"/>
      <c r="G93" s="195"/>
      <c r="H93" s="195" t="s">
        <v>86</v>
      </c>
      <c r="I93" s="195"/>
      <c r="J93" s="195" t="s">
        <v>85</v>
      </c>
      <c r="K93" s="195"/>
      <c r="L93" s="195"/>
      <c r="M93" s="200" t="s">
        <v>36</v>
      </c>
      <c r="N93" s="195"/>
      <c r="O93" s="586">
        <f>+J23</f>
        <v>0</v>
      </c>
      <c r="P93" s="195"/>
      <c r="Q93" s="195"/>
      <c r="R93" s="195"/>
      <c r="S93" s="483"/>
      <c r="CQ93" s="1"/>
      <c r="CR93" s="1"/>
      <c r="CS93" s="929"/>
      <c r="CT93" s="1"/>
    </row>
    <row r="94" spans="6:98" ht="18">
      <c r="F94" s="195"/>
      <c r="G94" s="195"/>
      <c r="H94" s="199" t="s">
        <v>65</v>
      </c>
      <c r="I94" s="195"/>
      <c r="J94" s="195" t="s">
        <v>85</v>
      </c>
      <c r="K94" s="195"/>
      <c r="L94" s="195"/>
      <c r="M94" s="200" t="s">
        <v>36</v>
      </c>
      <c r="N94" s="195"/>
      <c r="O94" s="586">
        <f>+K23</f>
        <v>59720</v>
      </c>
      <c r="P94" s="195"/>
      <c r="Q94" s="195"/>
      <c r="R94" s="195"/>
      <c r="S94" s="483"/>
      <c r="CQ94" s="1"/>
      <c r="CR94" s="1"/>
      <c r="CS94" s="929"/>
      <c r="CT94" s="1"/>
    </row>
    <row r="95" spans="6:98" ht="18">
      <c r="F95" s="195"/>
      <c r="G95" s="195"/>
      <c r="H95" s="199" t="s">
        <v>87</v>
      </c>
      <c r="I95" s="195"/>
      <c r="J95" s="195" t="s">
        <v>85</v>
      </c>
      <c r="K95" s="195"/>
      <c r="L95" s="195"/>
      <c r="M95" s="200" t="s">
        <v>36</v>
      </c>
      <c r="N95" s="195"/>
      <c r="O95" s="586">
        <f>+L23</f>
        <v>31200</v>
      </c>
      <c r="P95" s="195"/>
      <c r="Q95" s="195"/>
      <c r="R95" s="195"/>
      <c r="S95" s="483"/>
      <c r="CQ95" s="1"/>
      <c r="CR95" s="1"/>
      <c r="CS95" s="929"/>
      <c r="CT95" s="1"/>
    </row>
    <row r="96" spans="6:98" ht="18">
      <c r="F96" s="195"/>
      <c r="G96" s="195"/>
      <c r="H96" s="199" t="s">
        <v>88</v>
      </c>
      <c r="I96" s="195"/>
      <c r="J96" s="195" t="s">
        <v>85</v>
      </c>
      <c r="K96" s="195"/>
      <c r="L96" s="195"/>
      <c r="M96" s="200" t="s">
        <v>36</v>
      </c>
      <c r="N96" s="195"/>
      <c r="O96" s="586">
        <f>+M23</f>
        <v>6000</v>
      </c>
      <c r="P96" s="195"/>
      <c r="Q96" s="195"/>
      <c r="R96" s="195"/>
      <c r="S96" s="483"/>
      <c r="CQ96" s="1"/>
      <c r="CR96" s="1"/>
      <c r="CS96" s="929"/>
      <c r="CT96" s="1"/>
    </row>
    <row r="97" spans="6:98" ht="18.75" thickBot="1">
      <c r="F97" s="195"/>
      <c r="G97" s="195"/>
      <c r="H97" s="199" t="s">
        <v>89</v>
      </c>
      <c r="I97" s="195"/>
      <c r="J97" s="195" t="s">
        <v>85</v>
      </c>
      <c r="K97" s="195"/>
      <c r="L97" s="195"/>
      <c r="M97" s="200" t="s">
        <v>36</v>
      </c>
      <c r="N97" s="195"/>
      <c r="O97" s="587">
        <f>SUM(O24:O28)+O21+O22</f>
        <v>12900</v>
      </c>
      <c r="P97" s="195"/>
      <c r="Q97" s="195"/>
      <c r="R97" s="195"/>
      <c r="S97" s="483"/>
      <c r="CQ97" s="1"/>
      <c r="CR97" s="1"/>
      <c r="CS97" s="929"/>
      <c r="CT97" s="1"/>
    </row>
    <row r="98" spans="6:98" ht="18.75" thickBot="1">
      <c r="F98" s="195"/>
      <c r="G98" s="195"/>
      <c r="H98" s="195"/>
      <c r="I98" s="195"/>
      <c r="J98" s="195"/>
      <c r="K98" s="195"/>
      <c r="L98" s="195"/>
      <c r="M98" s="195"/>
      <c r="N98" s="195"/>
      <c r="O98" s="588">
        <f>SUM(O92:O97)</f>
        <v>418620</v>
      </c>
      <c r="P98" s="186">
        <f>+O32</f>
        <v>0</v>
      </c>
      <c r="Q98" s="195"/>
      <c r="R98" s="195"/>
      <c r="S98" s="483"/>
      <c r="CQ98" s="1"/>
      <c r="CR98" s="1"/>
      <c r="CS98" s="929"/>
      <c r="CT98" s="1"/>
    </row>
    <row r="99" spans="6:98" ht="18">
      <c r="F99" s="202" t="s">
        <v>90</v>
      </c>
      <c r="G99" s="195" t="s">
        <v>91</v>
      </c>
      <c r="H99" s="195"/>
      <c r="I99" s="195"/>
      <c r="J99" s="485"/>
      <c r="K99" s="195"/>
      <c r="L99" s="195"/>
      <c r="M99" s="200" t="s">
        <v>36</v>
      </c>
      <c r="N99" s="195"/>
      <c r="O99" s="48">
        <f>ROUND(T99*12,0)</f>
        <v>99600</v>
      </c>
      <c r="P99" s="203"/>
      <c r="Q99" s="7"/>
      <c r="R99" s="195"/>
      <c r="S99" s="185"/>
      <c r="T99" s="187">
        <f>ROUND((ROUND((O101+O104+L29)/12,0))/100,0)*100</f>
        <v>8300</v>
      </c>
      <c r="V99" t="e">
        <f>[2]!NUM2TEXT(+T99)</f>
        <v>#NAME?</v>
      </c>
      <c r="CQ99" s="1"/>
      <c r="CR99" s="1"/>
      <c r="CS99" s="929"/>
      <c r="CT99" s="1"/>
    </row>
    <row r="100" spans="6:98" ht="18">
      <c r="F100" s="202" t="s">
        <v>92</v>
      </c>
      <c r="G100" s="195" t="s">
        <v>93</v>
      </c>
      <c r="H100" s="195"/>
      <c r="I100" s="195"/>
      <c r="J100" s="485"/>
      <c r="K100" s="195"/>
      <c r="L100" s="195"/>
      <c r="M100" s="200" t="s">
        <v>36</v>
      </c>
      <c r="N100" s="195"/>
      <c r="O100" s="48">
        <f>+O92+O93+O94</f>
        <v>368520</v>
      </c>
      <c r="P100" s="203"/>
      <c r="Q100" s="7"/>
      <c r="R100" s="195"/>
      <c r="S100" s="185"/>
      <c r="T100" s="1"/>
      <c r="CQ100" s="1"/>
      <c r="CR100" s="1"/>
      <c r="CS100" s="929"/>
      <c r="CT100" s="1"/>
    </row>
    <row r="101" spans="6:98" ht="18">
      <c r="F101" s="202" t="s">
        <v>94</v>
      </c>
      <c r="G101" s="195" t="s">
        <v>95</v>
      </c>
      <c r="H101" s="195"/>
      <c r="I101" s="195"/>
      <c r="J101" s="485"/>
      <c r="K101" s="195"/>
      <c r="L101" s="195"/>
      <c r="M101" s="200" t="s">
        <v>36</v>
      </c>
      <c r="N101" s="7"/>
      <c r="O101" s="186">
        <f>ROUND(O100*0.1,0)</f>
        <v>36852</v>
      </c>
      <c r="P101" s="203"/>
      <c r="Q101" s="7"/>
      <c r="R101" s="195"/>
      <c r="S101" s="185"/>
      <c r="T101" s="1"/>
      <c r="CQ101" s="1"/>
      <c r="CR101" s="1"/>
      <c r="CS101" s="929"/>
      <c r="CT101" s="1"/>
    </row>
    <row r="102" spans="6:98" ht="18">
      <c r="F102" s="1129" t="s">
        <v>98</v>
      </c>
      <c r="G102" s="195"/>
      <c r="H102" s="485"/>
      <c r="I102" s="195"/>
      <c r="J102" s="195"/>
      <c r="K102" s="195"/>
      <c r="L102" s="202" t="s">
        <v>96</v>
      </c>
      <c r="M102" s="200" t="s">
        <v>36</v>
      </c>
      <c r="N102" s="7"/>
      <c r="O102" s="48">
        <f>+O99-O101</f>
        <v>62748</v>
      </c>
      <c r="P102" s="7"/>
      <c r="Q102" s="7"/>
      <c r="R102" s="195"/>
      <c r="S102" s="185"/>
      <c r="T102" s="1"/>
      <c r="CQ102" s="1"/>
      <c r="CR102" s="1"/>
      <c r="CS102" s="929"/>
      <c r="CT102" s="1"/>
    </row>
    <row r="103" spans="6:98" ht="18">
      <c r="F103" s="1129"/>
      <c r="G103" s="195"/>
      <c r="H103" s="485"/>
      <c r="I103" s="195"/>
      <c r="J103" s="195"/>
      <c r="K103" s="195"/>
      <c r="L103" s="195"/>
      <c r="M103" s="200"/>
      <c r="N103" s="7"/>
      <c r="O103" s="589"/>
      <c r="P103" s="7"/>
      <c r="Q103" s="195"/>
      <c r="R103" s="195"/>
      <c r="S103" s="483"/>
      <c r="T103" s="37"/>
      <c r="CQ103" s="1"/>
      <c r="CR103" s="1"/>
      <c r="CS103" s="929"/>
      <c r="CT103" s="1"/>
    </row>
    <row r="104" spans="6:98" ht="18">
      <c r="F104" s="1129" t="s">
        <v>99</v>
      </c>
      <c r="G104" s="195"/>
      <c r="H104" s="485"/>
      <c r="I104" s="195"/>
      <c r="J104" s="195"/>
      <c r="K104" s="195"/>
      <c r="L104" s="195"/>
      <c r="M104" s="200" t="s">
        <v>36</v>
      </c>
      <c r="N104" s="195"/>
      <c r="O104" s="186">
        <f>+O95</f>
        <v>31200</v>
      </c>
      <c r="P104" s="195"/>
      <c r="Q104" s="195"/>
      <c r="R104" s="195"/>
      <c r="S104" s="483"/>
      <c r="T104" s="1"/>
      <c r="CQ104" s="1"/>
      <c r="CR104" s="1"/>
      <c r="CS104" s="929"/>
      <c r="CT104" s="1"/>
    </row>
    <row r="105" spans="6:98" ht="18">
      <c r="F105" s="1129"/>
      <c r="G105" s="195"/>
      <c r="H105" s="485"/>
      <c r="I105" s="195"/>
      <c r="J105" s="195"/>
      <c r="K105" s="195"/>
      <c r="L105" s="195"/>
      <c r="M105" s="200"/>
      <c r="N105" s="195"/>
      <c r="O105" s="48"/>
      <c r="P105" s="195"/>
      <c r="Q105" s="195"/>
      <c r="R105" s="195"/>
      <c r="S105" s="483"/>
      <c r="T105" s="37"/>
      <c r="CQ105" s="1"/>
      <c r="CR105" s="1"/>
      <c r="CS105" s="929"/>
      <c r="CT105" s="1"/>
    </row>
    <row r="106" spans="6:98" ht="18">
      <c r="F106" s="1129" t="s">
        <v>100</v>
      </c>
      <c r="G106" s="195"/>
      <c r="H106" s="485"/>
      <c r="I106" s="195"/>
      <c r="J106" s="195"/>
      <c r="K106" s="195"/>
      <c r="L106" s="195"/>
      <c r="M106" s="200" t="s">
        <v>36</v>
      </c>
      <c r="N106" s="195"/>
      <c r="O106" s="48">
        <f>ROUND(O100*0.5,0)</f>
        <v>184260</v>
      </c>
      <c r="P106" s="195"/>
      <c r="Q106" s="195"/>
      <c r="R106" s="195"/>
      <c r="S106" s="483"/>
      <c r="T106" s="1"/>
      <c r="CQ106" s="1"/>
      <c r="CR106" s="1"/>
      <c r="CS106" s="929"/>
      <c r="CT106" s="1"/>
    </row>
    <row r="107" spans="6:98" ht="18">
      <c r="F107" s="1129"/>
      <c r="G107" s="195"/>
      <c r="H107" s="485"/>
      <c r="I107" s="195"/>
      <c r="J107" s="195"/>
      <c r="K107" s="195"/>
      <c r="L107" s="195"/>
      <c r="M107" s="200" t="s">
        <v>36</v>
      </c>
      <c r="N107" s="195"/>
      <c r="O107" s="48"/>
      <c r="P107" s="195"/>
      <c r="Q107" s="195"/>
      <c r="R107" s="195"/>
      <c r="S107" s="483"/>
      <c r="CQ107" s="1"/>
      <c r="CR107" s="1"/>
      <c r="CS107" s="929"/>
      <c r="CT107" s="1"/>
    </row>
    <row r="108" spans="6:98" ht="18">
      <c r="F108" s="7" t="s">
        <v>101</v>
      </c>
      <c r="G108" s="195"/>
      <c r="H108" s="485"/>
      <c r="I108" s="195"/>
      <c r="J108" s="195"/>
      <c r="K108" s="195"/>
      <c r="L108" s="195"/>
      <c r="M108" s="200" t="s">
        <v>36</v>
      </c>
      <c r="N108" s="195"/>
      <c r="O108" s="186">
        <f>MIN(O102,O104,O106)</f>
        <v>31200</v>
      </c>
      <c r="P108" s="195"/>
      <c r="Q108" s="195"/>
      <c r="R108" s="195"/>
      <c r="S108" s="483"/>
      <c r="CQ108" s="1"/>
      <c r="CR108" s="1"/>
      <c r="CS108" s="929"/>
      <c r="CT108" s="1"/>
    </row>
    <row r="109" spans="6:98" ht="18">
      <c r="F109" s="7"/>
      <c r="G109" s="195"/>
      <c r="H109" s="485"/>
      <c r="I109" s="195"/>
      <c r="J109" s="195"/>
      <c r="K109" s="195"/>
      <c r="L109" s="195"/>
      <c r="M109" s="1"/>
      <c r="N109" s="195"/>
      <c r="O109" s="1"/>
      <c r="P109" s="195"/>
      <c r="Q109" s="195"/>
      <c r="R109" s="195"/>
      <c r="S109" s="483"/>
      <c r="CQ109" s="1"/>
      <c r="CR109" s="1"/>
      <c r="CS109" s="929"/>
      <c r="CT109" s="1"/>
    </row>
    <row r="110" spans="6:98" ht="18">
      <c r="F110" s="1130" t="s">
        <v>97</v>
      </c>
      <c r="G110" s="195"/>
      <c r="H110" s="485"/>
      <c r="I110" s="7"/>
      <c r="J110" s="7"/>
      <c r="K110" s="7"/>
      <c r="L110" s="7"/>
      <c r="M110" s="200" t="s">
        <v>36</v>
      </c>
      <c r="N110" s="7"/>
      <c r="O110" s="196" t="str">
        <f>C11</f>
        <v>Y</v>
      </c>
      <c r="P110" s="7"/>
      <c r="Q110" s="7"/>
      <c r="R110" s="195"/>
      <c r="S110" s="483"/>
      <c r="CQ110" s="1"/>
      <c r="CR110" s="1"/>
      <c r="CS110" s="929"/>
      <c r="CT110" s="1"/>
    </row>
    <row r="111" spans="6:98" ht="18">
      <c r="F111" s="1131" t="s">
        <v>231</v>
      </c>
      <c r="G111" s="195"/>
      <c r="H111" s="485"/>
      <c r="I111" s="7"/>
      <c r="J111" s="7"/>
      <c r="K111" s="7"/>
      <c r="L111" s="7"/>
      <c r="M111" s="7"/>
      <c r="N111" s="7"/>
      <c r="O111" s="7"/>
      <c r="P111" s="7"/>
      <c r="Q111" s="7"/>
      <c r="R111" s="195"/>
      <c r="S111" s="483"/>
      <c r="CQ111" s="1"/>
      <c r="CR111" s="1"/>
      <c r="CS111" s="929"/>
      <c r="CT111" s="1"/>
    </row>
    <row r="112" spans="6:98" ht="18">
      <c r="F112" s="1688" t="s">
        <v>236</v>
      </c>
      <c r="G112" s="1689"/>
      <c r="H112" s="1689"/>
      <c r="I112" s="1689"/>
      <c r="J112" s="1689"/>
      <c r="K112" s="1689"/>
      <c r="L112" s="1689"/>
      <c r="M112" s="1689"/>
      <c r="N112" s="1689"/>
      <c r="O112" s="1689"/>
      <c r="P112" s="1689"/>
      <c r="Q112" s="1689"/>
      <c r="R112" s="1689"/>
      <c r="S112" s="483"/>
      <c r="CQ112" s="1"/>
      <c r="CR112" s="1"/>
      <c r="CS112" s="929"/>
      <c r="CT112" s="1"/>
    </row>
    <row r="113" spans="6:98" ht="12.75">
      <c r="F113" s="1688"/>
      <c r="G113" s="1689"/>
      <c r="H113" s="1689"/>
      <c r="I113" s="1689"/>
      <c r="J113" s="1689"/>
      <c r="K113" s="1689"/>
      <c r="L113" s="1689"/>
      <c r="M113" s="1689"/>
      <c r="N113" s="1689"/>
      <c r="O113" s="1689"/>
      <c r="P113" s="1689"/>
      <c r="Q113" s="1689"/>
      <c r="R113" s="1689"/>
      <c r="S113" s="483"/>
      <c r="CQ113" s="1"/>
      <c r="CR113" s="1"/>
      <c r="CS113" s="1"/>
      <c r="CT113" s="1"/>
    </row>
    <row r="114" spans="6:19" ht="13.5" thickBot="1">
      <c r="F114" s="1130"/>
      <c r="G114" s="195"/>
      <c r="H114" s="485"/>
      <c r="I114" s="7"/>
      <c r="J114" s="7"/>
      <c r="K114" s="7"/>
      <c r="L114" s="7"/>
      <c r="M114" s="7"/>
      <c r="N114" s="7"/>
      <c r="O114" s="7"/>
      <c r="P114" s="7"/>
      <c r="Q114" s="7"/>
      <c r="R114" s="195"/>
      <c r="S114" s="483"/>
    </row>
    <row r="115" spans="6:19" ht="12.75">
      <c r="F115" s="195"/>
      <c r="G115" s="1120">
        <v>1</v>
      </c>
      <c r="H115" s="205" t="e">
        <f>+#REF!</f>
        <v>#REF!</v>
      </c>
      <c r="I115" s="205"/>
      <c r="J115" s="205"/>
      <c r="K115" s="205"/>
      <c r="L115" s="205"/>
      <c r="M115" s="206"/>
      <c r="N115" s="184" t="s">
        <v>36</v>
      </c>
      <c r="O115" s="207" t="e">
        <f>+#REF!</f>
        <v>#REF!</v>
      </c>
      <c r="P115" s="1682"/>
      <c r="Q115" s="1683"/>
      <c r="R115" s="1684"/>
      <c r="S115" s="483"/>
    </row>
    <row r="116" spans="6:19" ht="12.75">
      <c r="F116" s="195"/>
      <c r="G116" s="1121">
        <v>2</v>
      </c>
      <c r="H116" s="195" t="e">
        <f>+#REF!</f>
        <v>#REF!</v>
      </c>
      <c r="I116" s="195"/>
      <c r="J116" s="195"/>
      <c r="K116" s="195"/>
      <c r="L116" s="195"/>
      <c r="M116" s="7"/>
      <c r="N116" s="209" t="s">
        <v>36</v>
      </c>
      <c r="O116" s="210" t="e">
        <f>+#REF!</f>
        <v>#REF!</v>
      </c>
      <c r="P116" s="1685"/>
      <c r="Q116" s="1686"/>
      <c r="R116" s="1687"/>
      <c r="S116" s="483"/>
    </row>
    <row r="117" spans="6:19" ht="13.5" thickBot="1">
      <c r="F117" s="195"/>
      <c r="G117" s="1122">
        <v>3</v>
      </c>
      <c r="H117" s="212" t="e">
        <f>+#REF!</f>
        <v>#REF!</v>
      </c>
      <c r="I117" s="212"/>
      <c r="J117" s="212"/>
      <c r="K117" s="212"/>
      <c r="L117" s="212"/>
      <c r="M117" s="213"/>
      <c r="N117" s="178" t="s">
        <v>36</v>
      </c>
      <c r="O117" s="214" t="e">
        <f>+#REF!</f>
        <v>#REF!</v>
      </c>
      <c r="P117" s="1697" t="e">
        <f>+O115+O116+O117</f>
        <v>#REF!</v>
      </c>
      <c r="Q117" s="1698"/>
      <c r="R117" s="1699"/>
      <c r="S117" s="483"/>
    </row>
    <row r="118" spans="6:19" ht="12.75">
      <c r="F118" s="195"/>
      <c r="G118" s="1123">
        <v>1</v>
      </c>
      <c r="H118" s="205" t="e">
        <f>+#REF!</f>
        <v>#REF!</v>
      </c>
      <c r="I118" s="205"/>
      <c r="J118" s="205"/>
      <c r="K118" s="205"/>
      <c r="L118" s="205"/>
      <c r="M118" s="206"/>
      <c r="N118" s="184" t="s">
        <v>36</v>
      </c>
      <c r="O118" s="207">
        <f aca="true" t="shared" si="20" ref="O118:O123">+V34</f>
        <v>0</v>
      </c>
      <c r="P118" s="205"/>
      <c r="Q118" s="205"/>
      <c r="R118" s="216"/>
      <c r="S118" s="483"/>
    </row>
    <row r="119" spans="6:19" ht="12.75">
      <c r="F119" s="195"/>
      <c r="G119" s="1124">
        <v>2</v>
      </c>
      <c r="H119" s="218" t="e">
        <f>+#REF!</f>
        <v>#REF!</v>
      </c>
      <c r="I119" s="218"/>
      <c r="J119" s="218"/>
      <c r="K119" s="218"/>
      <c r="L119" s="218"/>
      <c r="M119" s="219"/>
      <c r="N119" s="172" t="s">
        <v>36</v>
      </c>
      <c r="O119" s="220">
        <f t="shared" si="20"/>
        <v>0</v>
      </c>
      <c r="P119" s="218"/>
      <c r="Q119" s="218"/>
      <c r="R119" s="221"/>
      <c r="S119" s="483"/>
    </row>
    <row r="120" spans="6:19" ht="12.75">
      <c r="F120" s="195"/>
      <c r="G120" s="1124">
        <v>3</v>
      </c>
      <c r="H120" s="218" t="e">
        <f>+#REF!</f>
        <v>#REF!</v>
      </c>
      <c r="I120" s="218"/>
      <c r="J120" s="218"/>
      <c r="K120" s="218"/>
      <c r="L120" s="218"/>
      <c r="M120" s="219"/>
      <c r="N120" s="172" t="s">
        <v>36</v>
      </c>
      <c r="O120" s="220">
        <f t="shared" si="20"/>
        <v>0</v>
      </c>
      <c r="P120" s="218"/>
      <c r="Q120" s="218"/>
      <c r="R120" s="221"/>
      <c r="S120" s="483"/>
    </row>
    <row r="121" spans="6:19" ht="12.75">
      <c r="F121" s="195"/>
      <c r="G121" s="1124">
        <v>4</v>
      </c>
      <c r="H121" s="218" t="e">
        <f>+#REF!</f>
        <v>#REF!</v>
      </c>
      <c r="I121" s="218"/>
      <c r="J121" s="218"/>
      <c r="K121" s="218"/>
      <c r="L121" s="218"/>
      <c r="M121" s="219"/>
      <c r="N121" s="172" t="s">
        <v>36</v>
      </c>
      <c r="O121" s="220">
        <f t="shared" si="20"/>
        <v>0</v>
      </c>
      <c r="P121" s="218"/>
      <c r="Q121" s="218"/>
      <c r="R121" s="221"/>
      <c r="S121" s="483"/>
    </row>
    <row r="122" spans="6:19" ht="12.75">
      <c r="F122" s="195"/>
      <c r="G122" s="1124">
        <v>5</v>
      </c>
      <c r="H122" s="218" t="e">
        <f>+#REF!</f>
        <v>#REF!</v>
      </c>
      <c r="I122" s="218"/>
      <c r="J122" s="218"/>
      <c r="K122" s="218"/>
      <c r="L122" s="218"/>
      <c r="M122" s="219"/>
      <c r="N122" s="172" t="s">
        <v>36</v>
      </c>
      <c r="O122" s="220">
        <f t="shared" si="20"/>
        <v>0</v>
      </c>
      <c r="P122" s="218"/>
      <c r="Q122" s="218"/>
      <c r="R122" s="221"/>
      <c r="S122" s="483"/>
    </row>
    <row r="123" spans="6:19" ht="13.5" thickBot="1">
      <c r="F123" s="195"/>
      <c r="G123" s="1125">
        <v>6</v>
      </c>
      <c r="H123" s="212" t="e">
        <f>+#REF!</f>
        <v>#REF!</v>
      </c>
      <c r="I123" s="212"/>
      <c r="J123" s="212"/>
      <c r="K123" s="212"/>
      <c r="L123" s="212"/>
      <c r="M123" s="213"/>
      <c r="N123" s="178" t="s">
        <v>36</v>
      </c>
      <c r="O123" s="214">
        <f t="shared" si="20"/>
        <v>0</v>
      </c>
      <c r="P123" s="212"/>
      <c r="Q123" s="212"/>
      <c r="R123" s="223"/>
      <c r="S123" s="483"/>
    </row>
    <row r="124" spans="6:19" ht="13.5" thickBot="1">
      <c r="F124" s="195"/>
      <c r="G124" s="1126">
        <v>7</v>
      </c>
      <c r="H124" s="225" t="str">
        <f>+AU17</f>
        <v>INFRASTRUCTURE BOND</v>
      </c>
      <c r="I124" s="226"/>
      <c r="J124" s="226"/>
      <c r="K124" s="225"/>
      <c r="L124" s="225"/>
      <c r="M124" s="227"/>
      <c r="N124" s="228" t="s">
        <v>36</v>
      </c>
      <c r="O124" s="229">
        <f>+V43</f>
        <v>0</v>
      </c>
      <c r="P124" s="1679">
        <f>+O118+O119+O120+O121+O122+O123</f>
        <v>0</v>
      </c>
      <c r="Q124" s="1680"/>
      <c r="R124" s="1681"/>
      <c r="S124" s="483"/>
    </row>
    <row r="125" spans="6:19" ht="12.75">
      <c r="F125" s="195"/>
      <c r="G125" s="202"/>
      <c r="H125" s="195"/>
      <c r="I125" s="195"/>
      <c r="J125" s="195"/>
      <c r="K125" s="195"/>
      <c r="L125" s="195"/>
      <c r="M125" s="7"/>
      <c r="N125" s="196"/>
      <c r="O125" s="201"/>
      <c r="P125" s="195"/>
      <c r="Q125" s="195"/>
      <c r="R125" s="195"/>
      <c r="S125" s="483"/>
    </row>
    <row r="126" spans="6:19" ht="12.75">
      <c r="F126" s="195"/>
      <c r="G126" s="202"/>
      <c r="H126" s="195"/>
      <c r="I126" s="195"/>
      <c r="J126" s="195"/>
      <c r="K126" s="195"/>
      <c r="L126" s="195"/>
      <c r="M126" s="7"/>
      <c r="N126" s="196"/>
      <c r="O126" s="201"/>
      <c r="P126" s="195"/>
      <c r="Q126" s="195"/>
      <c r="R126" s="195"/>
      <c r="S126" s="483"/>
    </row>
    <row r="127" spans="6:19" ht="13.5" thickBot="1">
      <c r="F127" s="195"/>
      <c r="G127" s="490"/>
      <c r="H127" s="490"/>
      <c r="I127" s="490"/>
      <c r="J127" s="490"/>
      <c r="K127" s="490"/>
      <c r="L127" s="490"/>
      <c r="M127" s="490"/>
      <c r="N127" s="491" t="s">
        <v>50</v>
      </c>
      <c r="O127" s="490"/>
      <c r="P127" s="490"/>
      <c r="Q127" s="490"/>
      <c r="R127" s="490"/>
      <c r="S127" s="492"/>
    </row>
    <row r="128" spans="6:19" ht="12.75">
      <c r="F128" s="485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</row>
    <row r="129" ht="12.75" customHeight="1" hidden="1"/>
    <row r="130" ht="12.75" customHeight="1" hidden="1"/>
    <row r="131" ht="18" customHeight="1" hidden="1">
      <c r="C131" s="498">
        <v>1</v>
      </c>
    </row>
    <row r="132" ht="18" customHeight="1" hidden="1">
      <c r="C132" s="498">
        <v>4</v>
      </c>
    </row>
    <row r="133" ht="18" customHeight="1" hidden="1">
      <c r="C133" s="498">
        <v>7</v>
      </c>
    </row>
    <row r="134" ht="18" customHeight="1" hidden="1">
      <c r="C134" s="498">
        <v>10</v>
      </c>
    </row>
    <row r="135" ht="12.75" customHeight="1" hidden="1"/>
    <row r="136" ht="18" customHeight="1" hidden="1">
      <c r="C136" s="498" t="s">
        <v>6</v>
      </c>
    </row>
    <row r="137" ht="18" customHeight="1" hidden="1">
      <c r="C137" s="498" t="s">
        <v>8</v>
      </c>
    </row>
    <row r="138" ht="12.75" customHeight="1" hidden="1"/>
    <row r="139" ht="18" customHeight="1" hidden="1">
      <c r="C139" s="498" t="s">
        <v>70</v>
      </c>
    </row>
    <row r="140" ht="18" customHeight="1" hidden="1">
      <c r="C140" s="498" t="s">
        <v>72</v>
      </c>
    </row>
    <row r="141" ht="12.75" customHeight="1" hidden="1"/>
    <row r="142" ht="12.75" customHeight="1" hidden="1"/>
    <row r="143" ht="15.75" customHeight="1" hidden="1">
      <c r="C143" s="499">
        <v>0</v>
      </c>
    </row>
    <row r="144" ht="15.75" customHeight="1" hidden="1">
      <c r="C144" s="499">
        <v>3</v>
      </c>
    </row>
    <row r="145" ht="15.75" customHeight="1" hidden="1">
      <c r="C145" s="499">
        <f>+C144+1</f>
        <v>4</v>
      </c>
    </row>
    <row r="146" ht="15.75" customHeight="1" hidden="1">
      <c r="C146" s="499">
        <f aca="true" t="shared" si="21" ref="C146:C157">+C145+1</f>
        <v>5</v>
      </c>
    </row>
    <row r="147" ht="15.75" customHeight="1" hidden="1">
      <c r="C147" s="499">
        <f t="shared" si="21"/>
        <v>6</v>
      </c>
    </row>
    <row r="148" ht="15.75" customHeight="1" hidden="1">
      <c r="C148" s="499">
        <f t="shared" si="21"/>
        <v>7</v>
      </c>
    </row>
    <row r="149" ht="15.75" customHeight="1" hidden="1">
      <c r="C149" s="499">
        <f t="shared" si="21"/>
        <v>8</v>
      </c>
    </row>
    <row r="150" ht="15.75" customHeight="1" hidden="1">
      <c r="C150" s="499">
        <f t="shared" si="21"/>
        <v>9</v>
      </c>
    </row>
    <row r="151" ht="15.75" customHeight="1" hidden="1">
      <c r="C151" s="499">
        <f t="shared" si="21"/>
        <v>10</v>
      </c>
    </row>
    <row r="152" ht="15.75" customHeight="1" hidden="1">
      <c r="C152" s="499">
        <f t="shared" si="21"/>
        <v>11</v>
      </c>
    </row>
    <row r="153" ht="15.75" customHeight="1" hidden="1">
      <c r="C153" s="499">
        <f t="shared" si="21"/>
        <v>12</v>
      </c>
    </row>
    <row r="154" ht="12.75" customHeight="1" hidden="1"/>
    <row r="155" ht="15.75" customHeight="1" hidden="1">
      <c r="C155" s="499">
        <v>0</v>
      </c>
    </row>
    <row r="156" ht="15.75" customHeight="1" hidden="1">
      <c r="C156" s="499">
        <f t="shared" si="21"/>
        <v>1</v>
      </c>
    </row>
    <row r="157" ht="15.75" customHeight="1" hidden="1">
      <c r="C157" s="499">
        <f t="shared" si="21"/>
        <v>2</v>
      </c>
    </row>
    <row r="158" ht="15.75" customHeight="1" hidden="1">
      <c r="C158" s="499"/>
    </row>
    <row r="159" ht="15.75" customHeight="1" hidden="1">
      <c r="C159" s="499" t="s">
        <v>234</v>
      </c>
    </row>
    <row r="160" ht="15.75" customHeight="1" hidden="1">
      <c r="C160" s="499" t="s">
        <v>235</v>
      </c>
    </row>
    <row r="161" ht="12.75" customHeight="1" hidden="1"/>
    <row r="162" spans="2:3" ht="13.5" customHeight="1" hidden="1">
      <c r="B162" s="501" t="s">
        <v>71</v>
      </c>
      <c r="C162" s="502">
        <v>0</v>
      </c>
    </row>
    <row r="163" spans="2:3" ht="12.75" customHeight="1" hidden="1">
      <c r="B163" s="503">
        <v>1</v>
      </c>
      <c r="C163" s="504">
        <v>1900</v>
      </c>
    </row>
    <row r="164" spans="2:3" ht="12.75" customHeight="1" hidden="1">
      <c r="B164" s="505">
        <f>+B163+1</f>
        <v>2</v>
      </c>
      <c r="C164" s="506">
        <v>2200</v>
      </c>
    </row>
    <row r="165" spans="2:3" ht="12.75" customHeight="1" hidden="1">
      <c r="B165" s="505">
        <f aca="true" t="shared" si="22" ref="B165:B173">+B164+1</f>
        <v>3</v>
      </c>
      <c r="C165" s="506">
        <v>2500</v>
      </c>
    </row>
    <row r="166" spans="2:3" ht="12.75" customHeight="1" hidden="1">
      <c r="B166" s="505">
        <f t="shared" si="22"/>
        <v>4</v>
      </c>
      <c r="C166" s="506">
        <v>2800</v>
      </c>
    </row>
    <row r="167" spans="2:3" ht="12.75" customHeight="1" hidden="1">
      <c r="B167" s="505">
        <f t="shared" si="22"/>
        <v>5</v>
      </c>
      <c r="C167" s="506">
        <v>4300</v>
      </c>
    </row>
    <row r="168" spans="2:3" ht="12.75" customHeight="1" hidden="1">
      <c r="B168" s="505">
        <f t="shared" si="22"/>
        <v>6</v>
      </c>
      <c r="C168" s="506">
        <v>5100</v>
      </c>
    </row>
    <row r="169" spans="2:3" ht="12.75" customHeight="1" hidden="1">
      <c r="B169" s="505">
        <f t="shared" si="22"/>
        <v>7</v>
      </c>
      <c r="C169" s="506">
        <v>5400</v>
      </c>
    </row>
    <row r="170" spans="2:3" ht="12.75" customHeight="1" hidden="1">
      <c r="B170" s="505">
        <f t="shared" si="22"/>
        <v>8</v>
      </c>
      <c r="C170" s="506">
        <v>6100</v>
      </c>
    </row>
    <row r="171" spans="2:3" ht="12.75" customHeight="1" hidden="1">
      <c r="B171" s="505">
        <f t="shared" si="22"/>
        <v>9</v>
      </c>
      <c r="C171" s="506">
        <v>6200</v>
      </c>
    </row>
    <row r="172" spans="2:3" ht="12.75" customHeight="1" hidden="1">
      <c r="B172" s="505">
        <f t="shared" si="22"/>
        <v>10</v>
      </c>
      <c r="C172" s="506">
        <v>7000</v>
      </c>
    </row>
    <row r="173" spans="2:3" ht="12.75" customHeight="1" hidden="1">
      <c r="B173" s="505">
        <f t="shared" si="22"/>
        <v>11</v>
      </c>
      <c r="C173" s="506">
        <v>8700</v>
      </c>
    </row>
    <row r="174" spans="2:3" ht="12.75" customHeight="1" hidden="1">
      <c r="B174" s="505">
        <v>12</v>
      </c>
      <c r="C174" s="506">
        <v>4300</v>
      </c>
    </row>
    <row r="175" spans="2:3" ht="12.75" customHeight="1" hidden="1">
      <c r="B175" s="505">
        <v>13</v>
      </c>
      <c r="C175" s="506">
        <v>2900</v>
      </c>
    </row>
    <row r="176" spans="2:3" ht="12.75" customHeight="1" hidden="1">
      <c r="B176" s="505">
        <v>14</v>
      </c>
      <c r="C176" s="506">
        <v>9500</v>
      </c>
    </row>
    <row r="177" spans="2:3" ht="13.5" customHeight="1" hidden="1">
      <c r="B177" s="507">
        <v>15</v>
      </c>
      <c r="C177" s="508">
        <v>1400</v>
      </c>
    </row>
    <row r="178" spans="2:3" ht="13.5" customHeight="1" hidden="1">
      <c r="B178" s="509">
        <v>16</v>
      </c>
      <c r="C178" s="510">
        <v>300</v>
      </c>
    </row>
    <row r="179" ht="12.75" customHeight="1" hidden="1"/>
    <row r="180" ht="12.75" customHeight="1" hidden="1"/>
    <row r="181" ht="12.75" customHeight="1" hidden="1"/>
  </sheetData>
  <sheetProtection/>
  <mergeCells count="95">
    <mergeCell ref="O42:P42"/>
    <mergeCell ref="K42:M42"/>
    <mergeCell ref="I37:M37"/>
    <mergeCell ref="I39:M39"/>
    <mergeCell ref="I41:M41"/>
    <mergeCell ref="I42:J42"/>
    <mergeCell ref="I38:M38"/>
    <mergeCell ref="R46:S46"/>
    <mergeCell ref="R47:S47"/>
    <mergeCell ref="O36:P36"/>
    <mergeCell ref="O37:P37"/>
    <mergeCell ref="O38:P38"/>
    <mergeCell ref="O39:P39"/>
    <mergeCell ref="R40:S40"/>
    <mergeCell ref="R41:S41"/>
    <mergeCell ref="O40:P40"/>
    <mergeCell ref="O41:P41"/>
    <mergeCell ref="P116:R116"/>
    <mergeCell ref="P117:R117"/>
    <mergeCell ref="P124:R124"/>
    <mergeCell ref="E63:F63"/>
    <mergeCell ref="B66:B73"/>
    <mergeCell ref="C66:F66"/>
    <mergeCell ref="F90:S90"/>
    <mergeCell ref="F112:R113"/>
    <mergeCell ref="P115:R115"/>
    <mergeCell ref="B56:B63"/>
    <mergeCell ref="E62:F62"/>
    <mergeCell ref="H51:V51"/>
    <mergeCell ref="E58:F58"/>
    <mergeCell ref="I58:N58"/>
    <mergeCell ref="E59:F59"/>
    <mergeCell ref="I59:N59"/>
    <mergeCell ref="I54:N54"/>
    <mergeCell ref="I55:N55"/>
    <mergeCell ref="C56:F56"/>
    <mergeCell ref="I56:N56"/>
    <mergeCell ref="E57:F57"/>
    <mergeCell ref="I57:N57"/>
    <mergeCell ref="H60:V60"/>
    <mergeCell ref="E61:F61"/>
    <mergeCell ref="I49:Q49"/>
    <mergeCell ref="E60:F60"/>
    <mergeCell ref="R49:S49"/>
    <mergeCell ref="H50:V50"/>
    <mergeCell ref="R33:S33"/>
    <mergeCell ref="R34:S34"/>
    <mergeCell ref="R35:S35"/>
    <mergeCell ref="R36:S36"/>
    <mergeCell ref="I40:M40"/>
    <mergeCell ref="R39:S39"/>
    <mergeCell ref="I34:P34"/>
    <mergeCell ref="I36:M36"/>
    <mergeCell ref="R48:S48"/>
    <mergeCell ref="I45:Q45"/>
    <mergeCell ref="I46:Q46"/>
    <mergeCell ref="I47:Q47"/>
    <mergeCell ref="I48:Q48"/>
    <mergeCell ref="R42:S42"/>
    <mergeCell ref="R43:S43"/>
    <mergeCell ref="R44:S44"/>
    <mergeCell ref="I43:Q43"/>
    <mergeCell ref="I44:Q44"/>
    <mergeCell ref="R45:S45"/>
    <mergeCell ref="R37:S37"/>
    <mergeCell ref="R38:S38"/>
    <mergeCell ref="P24:V24"/>
    <mergeCell ref="I30:N30"/>
    <mergeCell ref="R30:U30"/>
    <mergeCell ref="I31:N31"/>
    <mergeCell ref="R31:T31"/>
    <mergeCell ref="I33:P33"/>
    <mergeCell ref="I35:P35"/>
    <mergeCell ref="AB12:AC12"/>
    <mergeCell ref="AU22:AW22"/>
    <mergeCell ref="M6:M7"/>
    <mergeCell ref="N6:N7"/>
    <mergeCell ref="O6:O7"/>
    <mergeCell ref="R6:R7"/>
    <mergeCell ref="U6:U7"/>
    <mergeCell ref="BZ6:CE6"/>
    <mergeCell ref="CH6:CI6"/>
    <mergeCell ref="B10:B11"/>
    <mergeCell ref="K6:K7"/>
    <mergeCell ref="L6:L7"/>
    <mergeCell ref="S6:S7"/>
    <mergeCell ref="T6:T7"/>
    <mergeCell ref="G1:W1"/>
    <mergeCell ref="G2:W2"/>
    <mergeCell ref="Q3:V3"/>
    <mergeCell ref="Q4:V4"/>
    <mergeCell ref="G6:G7"/>
    <mergeCell ref="H6:H7"/>
    <mergeCell ref="I6:I7"/>
    <mergeCell ref="J6:J7"/>
  </mergeCells>
  <printOptions/>
  <pageMargins left="0.1968503937007874" right="0.1968503937007874" top="0.5905511811023623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95">
      <selection activeCell="C120" sqref="C120"/>
    </sheetView>
  </sheetViews>
  <sheetFormatPr defaultColWidth="9.140625" defaultRowHeight="12.75"/>
  <cols>
    <col min="1" max="1" width="9.140625" style="597" customWidth="1"/>
    <col min="2" max="2" width="7.421875" style="0" customWidth="1"/>
    <col min="3" max="3" width="9.57421875" style="597" bestFit="1" customWidth="1"/>
    <col min="4" max="4" width="9.140625" style="0" customWidth="1"/>
    <col min="5" max="5" width="4.7109375" style="0" customWidth="1"/>
    <col min="6" max="6" width="54.421875" style="756" customWidth="1"/>
    <col min="7" max="9" width="9.140625" style="1449" customWidth="1"/>
  </cols>
  <sheetData>
    <row r="1" ht="15">
      <c r="A1" s="1428" t="str">
        <f>+WORKING!N69</f>
        <v>OLD</v>
      </c>
    </row>
    <row r="3" spans="2:4" ht="13.5" thickBot="1">
      <c r="B3" s="1429" t="s">
        <v>415</v>
      </c>
      <c r="C3" s="1432">
        <f>+'IT-STATEMENT-21-22 NEW'!O31</f>
        <v>417510</v>
      </c>
      <c r="D3" s="577"/>
    </row>
    <row r="4" spans="1:6" ht="12.75">
      <c r="A4" s="1434">
        <v>1</v>
      </c>
      <c r="B4" s="1430" t="s">
        <v>414</v>
      </c>
      <c r="C4" s="1431">
        <f>+'IT-STATEMENT-2021-2022 OLD'!O31</f>
        <v>417510</v>
      </c>
      <c r="D4" s="1433">
        <f>VLOOKUP(+$A$1,B3:C4,2)</f>
        <v>417510</v>
      </c>
      <c r="E4" s="1435"/>
      <c r="F4" s="1436" t="str">
        <f>+'FORM 16 -2021-2022'!C19</f>
        <v>Salary as per provisions contained in Section 17(1)</v>
      </c>
    </row>
    <row r="5" spans="1:6" ht="12.75">
      <c r="A5" s="1434"/>
      <c r="E5" s="1"/>
      <c r="F5" s="1436"/>
    </row>
    <row r="6" spans="2:4" ht="13.5" thickBot="1">
      <c r="B6" s="1429" t="s">
        <v>415</v>
      </c>
      <c r="C6" s="1432">
        <v>0</v>
      </c>
      <c r="D6" s="577"/>
    </row>
    <row r="7" spans="1:6" ht="12.75">
      <c r="A7" s="597">
        <f>+A4+1</f>
        <v>2</v>
      </c>
      <c r="B7" s="1430" t="s">
        <v>414</v>
      </c>
      <c r="C7" s="1431">
        <f>+'IT-STATEMENT-2021-2022 OLD'!O32</f>
        <v>31200</v>
      </c>
      <c r="D7" s="1433">
        <f>VLOOKUP(+$A$1,B6:C7,2)</f>
        <v>31200</v>
      </c>
      <c r="E7" s="1435"/>
      <c r="F7" s="1436" t="str">
        <f>+'IT-STATEMENT-2021-2022 OLD'!I32</f>
        <v>LESS H.R.A.RELIEF</v>
      </c>
    </row>
    <row r="8" spans="5:6" ht="12.75">
      <c r="E8" s="1"/>
      <c r="F8" s="1436"/>
    </row>
    <row r="9" spans="2:4" ht="13.5" thickBot="1">
      <c r="B9" s="1429" t="s">
        <v>415</v>
      </c>
      <c r="C9" s="1432">
        <v>0</v>
      </c>
      <c r="D9" s="577"/>
    </row>
    <row r="10" spans="1:6" ht="12.75">
      <c r="A10" s="597">
        <f>+A7+1</f>
        <v>3</v>
      </c>
      <c r="B10" s="1430" t="s">
        <v>414</v>
      </c>
      <c r="C10" s="1431">
        <f>+'IT-STATEMENT-2021-2022 OLD'!O34</f>
        <v>4660</v>
      </c>
      <c r="D10" s="1433">
        <f>VLOOKUP(+$A$1,B9:C10,2)</f>
        <v>4660</v>
      </c>
      <c r="E10" s="1435"/>
      <c r="F10" s="1436" t="str">
        <f>+'FORM 16 -2021-2022'!B25</f>
        <v>Deductions:  a) Tax on Employment &amp; HIS</v>
      </c>
    </row>
    <row r="11" spans="5:6" ht="12.75">
      <c r="E11" s="1"/>
      <c r="F11" s="1436"/>
    </row>
    <row r="12" spans="2:4" ht="13.5" thickBot="1">
      <c r="B12" s="1429" t="s">
        <v>415</v>
      </c>
      <c r="C12" s="1432">
        <v>0</v>
      </c>
      <c r="D12" s="577"/>
    </row>
    <row r="13" spans="1:6" ht="12.75">
      <c r="A13" s="597">
        <f>+A10+1</f>
        <v>4</v>
      </c>
      <c r="B13" s="1430" t="s">
        <v>414</v>
      </c>
      <c r="C13" s="1431">
        <f>+'IT-STATEMENT-2021-2022 OLD'!O36</f>
        <v>0</v>
      </c>
      <c r="D13" s="1433">
        <f>VLOOKUP(+$A$1,B12:C13,2)</f>
        <v>0</v>
      </c>
      <c r="E13" s="1435"/>
      <c r="F13" s="1436" t="str">
        <f>+'FORM 16 -2021-2022'!C26</f>
        <v>H.B.A. interest</v>
      </c>
    </row>
    <row r="14" spans="5:6" ht="12.75">
      <c r="E14" s="1"/>
      <c r="F14" s="1436"/>
    </row>
    <row r="15" spans="2:4" ht="13.5" thickBot="1">
      <c r="B15" s="1429" t="s">
        <v>415</v>
      </c>
      <c r="C15" s="1432"/>
      <c r="D15" s="577"/>
    </row>
    <row r="16" spans="1:6" ht="12.75">
      <c r="A16" s="597">
        <f>+A13+1</f>
        <v>5</v>
      </c>
      <c r="B16" s="1430" t="s">
        <v>414</v>
      </c>
      <c r="C16" s="1431">
        <f>+'IT-STATEMENT-2021-2022 OLD'!O38</f>
        <v>0</v>
      </c>
      <c r="D16" s="1433">
        <f>VLOOKUP(+$A$1,B15:C16,2)</f>
        <v>0</v>
      </c>
      <c r="E16" s="1435"/>
      <c r="F16" s="1436" t="str">
        <f>+'FORM 16 -2021-2022'!C27</f>
        <v>MEDICIAL INSURANCE -80 D</v>
      </c>
    </row>
    <row r="17" spans="5:6" ht="12.75">
      <c r="E17" s="1"/>
      <c r="F17" s="1436"/>
    </row>
    <row r="18" spans="2:4" ht="13.5" thickBot="1">
      <c r="B18" s="1429" t="s">
        <v>415</v>
      </c>
      <c r="C18" s="1432">
        <v>0</v>
      </c>
      <c r="D18" s="577"/>
    </row>
    <row r="19" spans="1:6" ht="12.75">
      <c r="A19" s="597">
        <f>+A16+1</f>
        <v>6</v>
      </c>
      <c r="B19" s="1430" t="s">
        <v>414</v>
      </c>
      <c r="C19" s="1431">
        <f>+'IT-STATEMENT-2021-2022 OLD'!O40</f>
        <v>0</v>
      </c>
      <c r="D19" s="1433">
        <f>VLOOKUP(+$A$1,B18:C19,2)</f>
        <v>0</v>
      </c>
      <c r="E19" s="1435"/>
      <c r="F19" s="1436" t="str">
        <f>+'FORM 16 -2021-2022'!C28</f>
        <v>Tech.Education Interest &amp; HIS</v>
      </c>
    </row>
    <row r="20" spans="5:6" ht="12.75">
      <c r="E20" s="1"/>
      <c r="F20" s="1436"/>
    </row>
    <row r="21" spans="2:4" ht="13.5" thickBot="1">
      <c r="B21" s="1429" t="s">
        <v>415</v>
      </c>
      <c r="C21" s="1432"/>
      <c r="D21" s="577"/>
    </row>
    <row r="22" spans="1:6" ht="12.75">
      <c r="A22" s="597">
        <f>+A19+1</f>
        <v>7</v>
      </c>
      <c r="B22" s="1430" t="s">
        <v>414</v>
      </c>
      <c r="C22" s="1431">
        <f>+'IT-STATEMENT-2021-2022 OLD'!O42</f>
        <v>50000</v>
      </c>
      <c r="D22" s="1433">
        <f>VLOOKUP(+$A$1,B21:C22,2)</f>
        <v>50000</v>
      </c>
      <c r="E22" s="1435"/>
      <c r="F22" s="1436" t="str">
        <f>+'FORM 16 -2021-2022'!C29</f>
        <v>Standard Deduction - 16(ia)</v>
      </c>
    </row>
    <row r="23" spans="2:6" ht="12.75">
      <c r="B23" s="1445"/>
      <c r="C23" s="1446"/>
      <c r="D23" s="1435"/>
      <c r="E23" s="1435"/>
      <c r="F23" s="1436"/>
    </row>
    <row r="24" spans="2:4" ht="13.5" thickBot="1">
      <c r="B24" s="1429" t="s">
        <v>415</v>
      </c>
      <c r="C24" s="1432">
        <f>+'IT-STATEMENT-21-22 NEW'!R33</f>
        <v>417510</v>
      </c>
      <c r="D24" s="577"/>
    </row>
    <row r="25" spans="2:6" ht="12.75">
      <c r="B25" s="1430" t="s">
        <v>414</v>
      </c>
      <c r="C25" s="1431">
        <f>+WORKING!N44</f>
        <v>331650</v>
      </c>
      <c r="D25" s="1433">
        <f>VLOOKUP(+$A$1,B24:C25,2)</f>
        <v>331650</v>
      </c>
      <c r="E25" s="1435"/>
      <c r="F25" s="1436" t="str">
        <f>+'FORM 16 -2021-2022'!B33</f>
        <v>Gross Total Income (6 + 7)</v>
      </c>
    </row>
    <row r="26" spans="2:6" ht="12.75">
      <c r="B26" s="1445"/>
      <c r="C26" s="1446"/>
      <c r="D26" s="1435"/>
      <c r="E26" s="1435"/>
      <c r="F26" s="1436"/>
    </row>
    <row r="27" spans="1:9" s="1438" customFormat="1" ht="12.75">
      <c r="A27" s="1437"/>
      <c r="C27" s="1437"/>
      <c r="F27" s="1439"/>
      <c r="G27" s="1450"/>
      <c r="H27" s="1450"/>
      <c r="I27" s="1450"/>
    </row>
    <row r="28" spans="1:9" s="1442" customFormat="1" ht="13.5" thickBot="1">
      <c r="A28" s="1441"/>
      <c r="B28" s="1429" t="s">
        <v>415</v>
      </c>
      <c r="C28" s="1432">
        <v>0</v>
      </c>
      <c r="D28" s="577"/>
      <c r="F28" s="1443"/>
      <c r="G28" s="1451"/>
      <c r="H28" s="1451"/>
      <c r="I28" s="1451"/>
    </row>
    <row r="29" spans="1:6" ht="12.75">
      <c r="A29" s="597">
        <f>+A22+1</f>
        <v>8</v>
      </c>
      <c r="B29" s="1430" t="s">
        <v>414</v>
      </c>
      <c r="C29" s="1431">
        <f>+'IT-STATEMENT-2021-2022 OLD'!V31</f>
        <v>0</v>
      </c>
      <c r="D29" s="1433">
        <f>VLOOKUP(+$A$1,B28:C29,2)</f>
        <v>0</v>
      </c>
      <c r="E29" s="1435"/>
      <c r="F29" s="1436" t="str">
        <f>+'FORM 16 -2021-2022'!D37</f>
        <v>GPF Subscription</v>
      </c>
    </row>
    <row r="30" spans="5:6" ht="12.75">
      <c r="E30" s="1"/>
      <c r="F30" s="1436"/>
    </row>
    <row r="31" spans="1:9" s="1442" customFormat="1" ht="13.5" thickBot="1">
      <c r="A31" s="1441"/>
      <c r="B31" s="1429" t="s">
        <v>415</v>
      </c>
      <c r="C31" s="1432">
        <v>0</v>
      </c>
      <c r="D31" s="577"/>
      <c r="F31" s="1443"/>
      <c r="G31" s="1451"/>
      <c r="H31" s="1451"/>
      <c r="I31" s="1451"/>
    </row>
    <row r="32" spans="1:6" ht="12.75">
      <c r="A32" s="597">
        <f>+A29+1</f>
        <v>9</v>
      </c>
      <c r="B32" s="1430" t="s">
        <v>414</v>
      </c>
      <c r="C32" s="1431">
        <f>+'IT-STATEMENT-2021-2022 OLD'!V32</f>
        <v>10000</v>
      </c>
      <c r="D32" s="1433">
        <f>VLOOKUP(+$A$1,B31:C32,2)</f>
        <v>10000</v>
      </c>
      <c r="E32" s="1435"/>
      <c r="F32" s="1436" t="str">
        <f>+'FORM 16 -2021-2022'!D38</f>
        <v>PVT.LIC</v>
      </c>
    </row>
    <row r="33" spans="5:6" ht="12.75">
      <c r="E33" s="1"/>
      <c r="F33" s="1436"/>
    </row>
    <row r="34" spans="2:4" ht="13.5" thickBot="1">
      <c r="B34" s="1429" t="s">
        <v>415</v>
      </c>
      <c r="C34" s="1432">
        <v>0</v>
      </c>
      <c r="D34" s="577"/>
    </row>
    <row r="35" spans="1:6" ht="12.75">
      <c r="A35" s="597">
        <f>+A32+1</f>
        <v>10</v>
      </c>
      <c r="B35" s="1430" t="s">
        <v>414</v>
      </c>
      <c r="C35" s="1431">
        <f>+'IT-STATEMENT-2021-2022 OLD'!V35</f>
        <v>0</v>
      </c>
      <c r="D35" s="1433">
        <f>VLOOKUP(+$A$1,B34:C35,2)</f>
        <v>0</v>
      </c>
      <c r="E35" s="1435"/>
      <c r="F35" s="1436" t="str">
        <f>+'FORM 16 -2021-2022'!D41</f>
        <v>PLI Subscription</v>
      </c>
    </row>
    <row r="36" spans="5:6" ht="12.75">
      <c r="E36" s="1"/>
      <c r="F36" s="1436"/>
    </row>
    <row r="37" spans="2:4" ht="13.5" thickBot="1">
      <c r="B37" s="1429" t="s">
        <v>415</v>
      </c>
      <c r="C37" s="1432">
        <v>0</v>
      </c>
      <c r="D37" s="577"/>
    </row>
    <row r="38" spans="1:6" ht="12.75">
      <c r="A38" s="597">
        <f>+A35+1</f>
        <v>11</v>
      </c>
      <c r="B38" s="1430" t="s">
        <v>414</v>
      </c>
      <c r="C38" s="1431">
        <f>+'IT-STATEMENT-2021-2022 OLD'!V33</f>
        <v>2400</v>
      </c>
      <c r="D38" s="1433">
        <f>VLOOKUP(+$A$1,B37:C38,2)</f>
        <v>2400</v>
      </c>
      <c r="E38" s="1435"/>
      <c r="F38" s="1436" t="str">
        <f>+'FORM 16 -2021-2022'!D39</f>
        <v>FSFS/SPF/SPFG2000</v>
      </c>
    </row>
    <row r="39" spans="5:6" ht="12.75">
      <c r="E39" s="1"/>
      <c r="F39" s="1436"/>
    </row>
    <row r="40" spans="2:4" ht="13.5" thickBot="1">
      <c r="B40" s="1429" t="s">
        <v>415</v>
      </c>
      <c r="C40" s="1432">
        <v>0</v>
      </c>
      <c r="D40" s="577"/>
    </row>
    <row r="41" spans="1:6" ht="12.75">
      <c r="A41" s="597">
        <f>+A38+1</f>
        <v>12</v>
      </c>
      <c r="B41" s="1430" t="s">
        <v>414</v>
      </c>
      <c r="C41" s="1431">
        <f>+'IT-STATEMENT-2021-2022 OLD'!V34</f>
        <v>0</v>
      </c>
      <c r="D41" s="1433">
        <f>VLOOKUP(+$A$1,B40:C41,2)</f>
        <v>0</v>
      </c>
      <c r="E41" s="1435"/>
      <c r="F41" s="1436" t="str">
        <f>+'FORM 16 -2021-2022'!D40</f>
        <v>PPF Subscription</v>
      </c>
    </row>
    <row r="42" spans="5:6" ht="12.75">
      <c r="E42" s="1"/>
      <c r="F42" s="1436"/>
    </row>
    <row r="43" spans="2:4" ht="13.5" thickBot="1">
      <c r="B43" s="1429" t="s">
        <v>415</v>
      </c>
      <c r="C43" s="1432">
        <v>0</v>
      </c>
      <c r="D43" s="577"/>
    </row>
    <row r="44" spans="1:6" ht="12.75">
      <c r="A44" s="597">
        <f>+A41+1</f>
        <v>13</v>
      </c>
      <c r="B44" s="1430" t="s">
        <v>414</v>
      </c>
      <c r="C44" s="1431">
        <f>+'IT-STATEMENT-2021-2022 OLD'!V36</f>
        <v>0</v>
      </c>
      <c r="D44" s="1433">
        <f>VLOOKUP(+$A$1,B43:C44,2)</f>
        <v>0</v>
      </c>
      <c r="E44" s="1435"/>
      <c r="F44" s="1436" t="str">
        <f>+'FORM 16 -2021-2022'!D42</f>
        <v>LIC Subscription</v>
      </c>
    </row>
    <row r="45" spans="5:6" ht="12.75">
      <c r="E45" s="1"/>
      <c r="F45" s="1436"/>
    </row>
    <row r="46" spans="2:4" ht="13.5" thickBot="1">
      <c r="B46" s="1429" t="s">
        <v>415</v>
      </c>
      <c r="C46" s="1432">
        <v>0</v>
      </c>
      <c r="D46" s="577"/>
    </row>
    <row r="47" spans="1:6" ht="12.75">
      <c r="A47" s="597">
        <f>+A44+1</f>
        <v>14</v>
      </c>
      <c r="B47" s="1430" t="s">
        <v>414</v>
      </c>
      <c r="C47" s="1431">
        <f>+'IT-STATEMENT-2021-2022 OLD'!V37</f>
        <v>0</v>
      </c>
      <c r="D47" s="1433">
        <f>VLOOKUP(+$A$1,B46:C47,2)</f>
        <v>0</v>
      </c>
      <c r="E47" s="1435"/>
      <c r="F47" s="1436" t="str">
        <f>+'FORM 16 -2021-2022'!D43</f>
        <v>Tution Fees</v>
      </c>
    </row>
    <row r="48" spans="5:6" ht="12.75">
      <c r="E48" s="1"/>
      <c r="F48" s="1436"/>
    </row>
    <row r="49" spans="2:4" ht="13.5" thickBot="1">
      <c r="B49" s="1429" t="s">
        <v>415</v>
      </c>
      <c r="C49" s="1432">
        <v>0</v>
      </c>
      <c r="D49" s="577"/>
    </row>
    <row r="50" spans="1:6" ht="12.75">
      <c r="A50" s="597">
        <f>+A47+1</f>
        <v>15</v>
      </c>
      <c r="B50" s="1430" t="s">
        <v>414</v>
      </c>
      <c r="C50" s="1431">
        <f>+'IT-STATEMENT-2021-2022 OLD'!V38</f>
        <v>0</v>
      </c>
      <c r="D50" s="1433">
        <f>VLOOKUP(+$A$1,B49:C50,2)</f>
        <v>0</v>
      </c>
      <c r="E50" s="1435"/>
      <c r="F50" s="1436" t="str">
        <f>+'FORM 16 -2021-2022'!D44</f>
        <v>ICICI Prudential</v>
      </c>
    </row>
    <row r="51" spans="5:6" ht="12.75">
      <c r="E51" s="1"/>
      <c r="F51" s="1436"/>
    </row>
    <row r="52" spans="2:4" ht="13.5" thickBot="1">
      <c r="B52" s="1429" t="s">
        <v>415</v>
      </c>
      <c r="C52" s="1432">
        <v>0</v>
      </c>
      <c r="D52" s="577"/>
    </row>
    <row r="53" spans="1:6" ht="12.75">
      <c r="A53" s="597">
        <f>+A50+1</f>
        <v>16</v>
      </c>
      <c r="B53" s="1430" t="s">
        <v>414</v>
      </c>
      <c r="C53" s="1431">
        <f>+'IT-STATEMENT-2021-2022 OLD'!V39</f>
        <v>0</v>
      </c>
      <c r="D53" s="1433">
        <f>VLOOKUP(+$A$1,B52:C53,2)</f>
        <v>0</v>
      </c>
      <c r="E53" s="1435"/>
      <c r="F53" s="1436" t="str">
        <f>+'FORM 16 -2021-2022'!D45</f>
        <v>Refund of loan for H.B.A.</v>
      </c>
    </row>
    <row r="54" spans="5:6" ht="12.75">
      <c r="E54" s="1"/>
      <c r="F54" s="1436"/>
    </row>
    <row r="55" spans="2:4" ht="13.5" thickBot="1">
      <c r="B55" s="1429" t="s">
        <v>415</v>
      </c>
      <c r="C55" s="1432">
        <v>0</v>
      </c>
      <c r="D55" s="577"/>
    </row>
    <row r="56" spans="1:6" ht="12.75">
      <c r="A56" s="597">
        <f>+A53+1</f>
        <v>17</v>
      </c>
      <c r="B56" s="1430" t="s">
        <v>414</v>
      </c>
      <c r="C56" s="1431">
        <f>+'IT-STATEMENT-2021-2022 OLD'!V42</f>
        <v>12400</v>
      </c>
      <c r="D56" s="1433">
        <f>VLOOKUP(+$A$1,B55:C56,2)</f>
        <v>12400</v>
      </c>
      <c r="E56" s="1435"/>
      <c r="F56" s="1436" t="str">
        <f>+'FORM 16 -2021-2022'!K56</f>
        <v>Aggregate of deductible amount under chapter VI-A</v>
      </c>
    </row>
    <row r="57" spans="5:6" ht="12.75">
      <c r="E57" s="1"/>
      <c r="F57" s="1436"/>
    </row>
    <row r="58" spans="2:4" ht="13.5" thickBot="1">
      <c r="B58" s="1429" t="s">
        <v>415</v>
      </c>
      <c r="C58" s="1432">
        <f>+'IT-STATEMENT-21-22 NEW'!R35</f>
        <v>167510</v>
      </c>
      <c r="D58" s="577"/>
    </row>
    <row r="59" spans="1:6" ht="12.75">
      <c r="A59" s="597">
        <f>+A56+1</f>
        <v>18</v>
      </c>
      <c r="B59" s="1430" t="s">
        <v>414</v>
      </c>
      <c r="C59" s="1431">
        <f>+'IT-STATEMENT-2021-2022 OLD'!V45</f>
        <v>319250</v>
      </c>
      <c r="D59" s="1433">
        <f>VLOOKUP(+$A$1,B58:C59,2)</f>
        <v>319250</v>
      </c>
      <c r="E59" s="1435"/>
      <c r="F59" s="1436" t="str">
        <f>+'FORM 16 -2021-2022'!K57</f>
        <v>Total Income (8-10)</v>
      </c>
    </row>
    <row r="60" spans="5:6" ht="12.75">
      <c r="E60" s="1"/>
      <c r="F60" s="1436"/>
    </row>
    <row r="61" spans="2:4" ht="13.5" thickBot="1">
      <c r="B61" s="1429" t="s">
        <v>415</v>
      </c>
      <c r="C61" s="1432">
        <f>+'IT-STATEMENT-21-22 NEW'!R43</f>
        <v>8376</v>
      </c>
      <c r="D61" s="577"/>
    </row>
    <row r="62" spans="1:6" ht="12.75">
      <c r="A62" s="597">
        <f>+A59+1</f>
        <v>19</v>
      </c>
      <c r="B62" s="1430" t="s">
        <v>414</v>
      </c>
      <c r="C62" s="1431">
        <f>+'IT-STATEMENT-2021-2022 OLD'!V54</f>
        <v>-9037</v>
      </c>
      <c r="D62" s="1433">
        <f>VLOOKUP(+$A$1,B61:C62,2)</f>
        <v>-9037</v>
      </c>
      <c r="E62" s="1435"/>
      <c r="F62" s="1440" t="str">
        <f>+'FORM 16 -2021-2022'!K58</f>
        <v>Tax on Total Income</v>
      </c>
    </row>
    <row r="63" spans="5:6" ht="12.75">
      <c r="E63" s="1"/>
      <c r="F63" s="1436"/>
    </row>
    <row r="64" spans="2:4" ht="13.5" thickBot="1">
      <c r="B64" s="1429" t="s">
        <v>415</v>
      </c>
      <c r="C64" s="1432">
        <v>0</v>
      </c>
      <c r="D64" s="577"/>
    </row>
    <row r="65" spans="1:6" ht="12.75">
      <c r="A65" s="597">
        <f>+A62+1</f>
        <v>20</v>
      </c>
      <c r="B65" s="1430" t="s">
        <v>414</v>
      </c>
      <c r="C65" s="1444">
        <v>0</v>
      </c>
      <c r="D65" s="1433">
        <f>VLOOKUP(+$A$1,B64:C65,2)</f>
        <v>0</v>
      </c>
      <c r="E65" s="1435"/>
      <c r="F65" s="1440" t="str">
        <f>+'FORM 16 -2021-2022'!K59</f>
        <v>Surcharge (on tax computed at S.No.12)</v>
      </c>
    </row>
    <row r="66" spans="5:6" ht="12.75">
      <c r="E66" s="1"/>
      <c r="F66" s="1436"/>
    </row>
    <row r="67" spans="2:4" ht="13.5" thickBot="1">
      <c r="B67" s="1429" t="s">
        <v>415</v>
      </c>
      <c r="C67" s="1432">
        <f>+'IT-STATEMENT-21-22 NEW'!R46</f>
        <v>335</v>
      </c>
      <c r="D67" s="577"/>
    </row>
    <row r="68" spans="1:6" ht="12.75">
      <c r="A68" s="597">
        <f>+A65+1</f>
        <v>21</v>
      </c>
      <c r="B68" s="1430" t="s">
        <v>414</v>
      </c>
      <c r="C68" s="1431">
        <f>+'IT-STATEMENT-2021-2022 OLD'!V55</f>
        <v>-361</v>
      </c>
      <c r="D68" s="1433">
        <f>VLOOKUP(+$A$1,B67:C68,2)</f>
        <v>-361</v>
      </c>
      <c r="E68" s="1435"/>
      <c r="F68" s="1440" t="str">
        <f>+'FORM 16 -2021-2022'!K60</f>
        <v>Education Cess (a) 4% on (tax at S.No.12</v>
      </c>
    </row>
    <row r="69" spans="5:6" ht="12.75">
      <c r="E69" s="1"/>
      <c r="F69" s="1436"/>
    </row>
    <row r="70" spans="2:4" ht="13.5" thickBot="1">
      <c r="B70" s="1429" t="s">
        <v>415</v>
      </c>
      <c r="C70" s="1432">
        <f>+'IT-STATEMENT-21-22 NEW'!R47</f>
        <v>8711</v>
      </c>
      <c r="D70" s="577"/>
    </row>
    <row r="71" spans="1:6" ht="12.75">
      <c r="A71" s="597">
        <f>+A68+1</f>
        <v>22</v>
      </c>
      <c r="B71" s="1430" t="s">
        <v>414</v>
      </c>
      <c r="C71" s="1431">
        <f>+D62+D65+D68</f>
        <v>-9398</v>
      </c>
      <c r="D71" s="1433">
        <f>VLOOKUP(+$A$1,B70:C71,2)</f>
        <v>-9398</v>
      </c>
      <c r="E71" s="1435"/>
      <c r="F71" s="1440" t="str">
        <f>+'FORM 16 -2021-2022'!K62</f>
        <v>Tax Payable (12 + 13 + 14)</v>
      </c>
    </row>
    <row r="72" spans="5:6" ht="12.75">
      <c r="E72" s="1"/>
      <c r="F72" s="1436"/>
    </row>
    <row r="73" spans="2:4" ht="13.5" thickBot="1">
      <c r="B73" s="1429" t="s">
        <v>415</v>
      </c>
      <c r="C73" s="1432">
        <v>0</v>
      </c>
      <c r="D73" s="577"/>
    </row>
    <row r="74" spans="1:6" ht="12.75">
      <c r="A74" s="597">
        <f>+A71+1</f>
        <v>23</v>
      </c>
      <c r="B74" s="1430" t="s">
        <v>414</v>
      </c>
      <c r="C74" s="1444"/>
      <c r="D74" s="1433">
        <f>VLOOKUP(+$A$1,B73:C74,2)</f>
        <v>0</v>
      </c>
      <c r="E74" s="1435"/>
      <c r="F74" s="1440" t="str">
        <f>+'FORM 16 -2021-2022'!K63</f>
        <v>Relief under Section 89 (attach details) </v>
      </c>
    </row>
    <row r="75" spans="5:6" ht="12.75">
      <c r="E75" s="1"/>
      <c r="F75" s="1436"/>
    </row>
    <row r="76" spans="2:4" ht="13.5" thickBot="1">
      <c r="B76" s="1429" t="s">
        <v>415</v>
      </c>
      <c r="C76" s="1432">
        <v>0</v>
      </c>
      <c r="D76" s="577"/>
    </row>
    <row r="77" spans="1:6" ht="12.75">
      <c r="A77" s="597">
        <f>+A74+1</f>
        <v>24</v>
      </c>
      <c r="B77" s="1430" t="s">
        <v>414</v>
      </c>
      <c r="C77" s="1431">
        <f>+'IT-STATEMENT-2021-2022 OLD'!V56</f>
        <v>-9398</v>
      </c>
      <c r="D77" s="1433">
        <f>VLOOKUP(+$A$1,B76:C77,2)</f>
        <v>-9398</v>
      </c>
      <c r="E77" s="1435"/>
      <c r="F77" s="1440" t="str">
        <f>+'FORM 16 -2021-2022'!K64</f>
        <v>Tax Payable (15 - 16)</v>
      </c>
    </row>
    <row r="78" spans="5:6" ht="12.75">
      <c r="E78" s="1"/>
      <c r="F78" s="1436"/>
    </row>
    <row r="79" spans="2:4" ht="13.5" thickBot="1">
      <c r="B79" s="1429" t="s">
        <v>415</v>
      </c>
      <c r="C79" s="1432">
        <v>0</v>
      </c>
      <c r="D79" s="577"/>
    </row>
    <row r="80" spans="1:6" ht="12.75">
      <c r="A80" s="597">
        <f>+A77+1</f>
        <v>25</v>
      </c>
      <c r="B80" s="1430" t="s">
        <v>414</v>
      </c>
      <c r="C80" s="1431">
        <v>0</v>
      </c>
      <c r="D80" s="1433">
        <f>VLOOKUP(+$A$1,B79:C80,2)</f>
        <v>0</v>
      </c>
      <c r="E80" s="1435"/>
      <c r="F80" s="1440" t="str">
        <f>+'FORM 16 -2021-2022'!K65</f>
        <v>Less: (a) Tax Deduction at Source u/s 192(1)</v>
      </c>
    </row>
    <row r="81" spans="5:6" ht="12.75">
      <c r="E81" s="1"/>
      <c r="F81" s="1436"/>
    </row>
    <row r="82" spans="2:4" ht="13.5" thickBot="1">
      <c r="B82" s="1429" t="s">
        <v>415</v>
      </c>
      <c r="C82" s="1432">
        <v>0</v>
      </c>
      <c r="D82" s="577"/>
    </row>
    <row r="83" spans="1:6" ht="12.75">
      <c r="A83" s="597">
        <f>+A80+1</f>
        <v>26</v>
      </c>
      <c r="B83" s="1430" t="s">
        <v>414</v>
      </c>
      <c r="C83" s="1431"/>
      <c r="D83" s="1433">
        <f>VLOOKUP(+$A$1,B82:C83,2)</f>
        <v>0</v>
      </c>
      <c r="E83" s="1435"/>
      <c r="F83" s="1440" t="str">
        <f>+'FORM 16 -2021-2022'!K68</f>
        <v>Tax Payable / Refundable (17 - 18)</v>
      </c>
    </row>
    <row r="84" spans="5:9" ht="12.75">
      <c r="E84" s="1"/>
      <c r="F84" s="1436"/>
      <c r="G84" s="1447" t="s">
        <v>189</v>
      </c>
      <c r="H84" s="1447" t="s">
        <v>414</v>
      </c>
      <c r="I84" s="1447" t="s">
        <v>415</v>
      </c>
    </row>
    <row r="85" spans="2:9" ht="13.5" thickBot="1">
      <c r="B85" s="1429" t="s">
        <v>415</v>
      </c>
      <c r="C85" s="1432">
        <f>+I85</f>
        <v>5000</v>
      </c>
      <c r="D85" s="577"/>
      <c r="G85" s="1447">
        <f>+'IT-STATEMENT-21-22 NEW'!X8</f>
        <v>3</v>
      </c>
      <c r="H85" s="1447">
        <f>+'IT-STATEMENT-2021-2022 OLD'!V8</f>
        <v>0</v>
      </c>
      <c r="I85" s="1447">
        <f>+'IT-STATEMENT-21-22 NEW'!V8</f>
        <v>5000</v>
      </c>
    </row>
    <row r="86" spans="1:9" ht="12.75">
      <c r="A86" s="597">
        <v>3</v>
      </c>
      <c r="B86" s="1430" t="s">
        <v>414</v>
      </c>
      <c r="C86" s="1431">
        <f>+H85</f>
        <v>0</v>
      </c>
      <c r="D86" s="1433">
        <f>VLOOKUP(+$A$1,B85:C86,2)</f>
        <v>0</v>
      </c>
      <c r="G86" s="1447">
        <f>+'IT-STATEMENT-21-22 NEW'!X9</f>
        <v>4</v>
      </c>
      <c r="H86" s="1447">
        <f>+'IT-STATEMENT-2021-2022 OLD'!V9</f>
        <v>0</v>
      </c>
      <c r="I86" s="1447">
        <f>+'IT-STATEMENT-21-22 NEW'!V9</f>
        <v>5000</v>
      </c>
    </row>
    <row r="87" spans="7:9" ht="12.75">
      <c r="G87" s="1447">
        <f>+'IT-STATEMENT-21-22 NEW'!X10</f>
        <v>5</v>
      </c>
      <c r="H87" s="1447">
        <f>+'IT-STATEMENT-2021-2022 OLD'!V10</f>
        <v>0</v>
      </c>
      <c r="I87" s="1447">
        <f>+'IT-STATEMENT-21-22 NEW'!V10</f>
        <v>5000</v>
      </c>
    </row>
    <row r="88" spans="2:9" ht="13.5" thickBot="1">
      <c r="B88" s="1429" t="s">
        <v>415</v>
      </c>
      <c r="C88" s="1432">
        <f>+I86</f>
        <v>5000</v>
      </c>
      <c r="D88" s="577"/>
      <c r="G88" s="1447">
        <f>+'IT-STATEMENT-21-22 NEW'!X11</f>
        <v>6</v>
      </c>
      <c r="H88" s="1447">
        <f>+'IT-STATEMENT-2021-2022 OLD'!V11</f>
        <v>0</v>
      </c>
      <c r="I88" s="1447">
        <f>+'IT-STATEMENT-21-22 NEW'!V11</f>
        <v>5000</v>
      </c>
    </row>
    <row r="89" spans="1:9" ht="12.75">
      <c r="A89" s="597">
        <f>+A86+1</f>
        <v>4</v>
      </c>
      <c r="B89" s="1430" t="s">
        <v>414</v>
      </c>
      <c r="C89" s="1431">
        <f>+H86</f>
        <v>0</v>
      </c>
      <c r="D89" s="1433">
        <f>VLOOKUP(+$A$1,B88:C89,2)</f>
        <v>0</v>
      </c>
      <c r="G89" s="1447">
        <f>+'IT-STATEMENT-21-22 NEW'!X12</f>
        <v>7</v>
      </c>
      <c r="H89" s="1447">
        <f>+'IT-STATEMENT-2021-2022 OLD'!V12</f>
        <v>0</v>
      </c>
      <c r="I89" s="1447">
        <f>+'IT-STATEMENT-21-22 NEW'!V12</f>
        <v>5000</v>
      </c>
    </row>
    <row r="90" spans="7:9" ht="12.75">
      <c r="G90" s="1447">
        <f>+'IT-STATEMENT-21-22 NEW'!X13</f>
        <v>8</v>
      </c>
      <c r="H90" s="1447">
        <f>+'IT-STATEMENT-2021-2022 OLD'!V13</f>
        <v>0</v>
      </c>
      <c r="I90" s="1447">
        <f>+'IT-STATEMENT-21-22 NEW'!V13</f>
        <v>5000</v>
      </c>
    </row>
    <row r="91" spans="2:9" ht="13.5" thickBot="1">
      <c r="B91" s="1429" t="s">
        <v>415</v>
      </c>
      <c r="C91" s="1432">
        <f>+I87</f>
        <v>5000</v>
      </c>
      <c r="D91" s="577"/>
      <c r="G91" s="1447">
        <f>+'IT-STATEMENT-21-22 NEW'!X14</f>
        <v>9</v>
      </c>
      <c r="H91" s="1447">
        <f>+'IT-STATEMENT-2021-2022 OLD'!V14</f>
        <v>0</v>
      </c>
      <c r="I91" s="1447">
        <f>+'IT-STATEMENT-21-22 NEW'!V14</f>
        <v>5000</v>
      </c>
    </row>
    <row r="92" spans="1:9" ht="12.75">
      <c r="A92" s="597">
        <f>+A89+1</f>
        <v>5</v>
      </c>
      <c r="B92" s="1430" t="s">
        <v>414</v>
      </c>
      <c r="C92" s="1431">
        <f>+H87</f>
        <v>0</v>
      </c>
      <c r="D92" s="1433">
        <f>VLOOKUP(+$A$1,B91:C92,2)</f>
        <v>0</v>
      </c>
      <c r="G92" s="1447">
        <f>+'IT-STATEMENT-21-22 NEW'!X15</f>
        <v>10</v>
      </c>
      <c r="H92" s="1447">
        <f>+'IT-STATEMENT-2021-2022 OLD'!V15</f>
        <v>0</v>
      </c>
      <c r="I92" s="1447">
        <f>+'IT-STATEMENT-21-22 NEW'!V15</f>
        <v>5000</v>
      </c>
    </row>
    <row r="93" spans="7:9" ht="12.75">
      <c r="G93" s="1447">
        <f>+'IT-STATEMENT-21-22 NEW'!X16</f>
        <v>11</v>
      </c>
      <c r="H93" s="1447">
        <f>+'IT-STATEMENT-2021-2022 OLD'!V16</f>
        <v>0</v>
      </c>
      <c r="I93" s="1447">
        <f>+'IT-STATEMENT-21-22 NEW'!V16</f>
        <v>5000</v>
      </c>
    </row>
    <row r="94" spans="2:9" ht="13.5" thickBot="1">
      <c r="B94" s="1429" t="s">
        <v>415</v>
      </c>
      <c r="C94" s="1432">
        <f>+I88</f>
        <v>5000</v>
      </c>
      <c r="D94" s="577"/>
      <c r="G94" s="1447">
        <f>+'IT-STATEMENT-21-22 NEW'!X17</f>
        <v>12</v>
      </c>
      <c r="H94" s="1447">
        <f>+'IT-STATEMENT-2021-2022 OLD'!V17</f>
        <v>0</v>
      </c>
      <c r="I94" s="1447">
        <f>+'IT-STATEMENT-21-22 NEW'!V17</f>
        <v>5000</v>
      </c>
    </row>
    <row r="95" spans="1:9" ht="12.75">
      <c r="A95" s="597">
        <f>+A92+1</f>
        <v>6</v>
      </c>
      <c r="B95" s="1430" t="s">
        <v>414</v>
      </c>
      <c r="C95" s="1431">
        <f>+H88</f>
        <v>0</v>
      </c>
      <c r="D95" s="1433">
        <f>VLOOKUP(+$A$1,B94:C95,2)</f>
        <v>0</v>
      </c>
      <c r="G95" s="1447">
        <f>+'IT-STATEMENT-21-22 NEW'!X18</f>
        <v>1</v>
      </c>
      <c r="H95" s="1447">
        <f>+'IT-STATEMENT-2021-2022 OLD'!V18</f>
        <v>0</v>
      </c>
      <c r="I95" s="1447">
        <f>+'IT-STATEMENT-21-22 NEW'!V18</f>
        <v>5000</v>
      </c>
    </row>
    <row r="96" spans="7:9" ht="12.75">
      <c r="G96" s="1447">
        <f>+'IT-STATEMENT-21-22 NEW'!X19</f>
        <v>2</v>
      </c>
      <c r="H96" s="1447">
        <f>+'IT-STATEMENT-2021-2022 OLD'!V19</f>
        <v>-9398</v>
      </c>
      <c r="I96" s="1447">
        <f>+'IT-STATEMENT-21-22 NEW'!V19</f>
        <v>-46289</v>
      </c>
    </row>
    <row r="97" spans="2:9" ht="13.5" thickBot="1">
      <c r="B97" s="1429" t="s">
        <v>415</v>
      </c>
      <c r="C97" s="1432">
        <f>+I89</f>
        <v>5000</v>
      </c>
      <c r="D97" s="577"/>
      <c r="G97" s="1447"/>
      <c r="H97" s="1447">
        <f>SUM(H85:H96)</f>
        <v>-9398</v>
      </c>
      <c r="I97" s="1447">
        <f>SUM(I85:I96)</f>
        <v>8711</v>
      </c>
    </row>
    <row r="98" spans="1:9" ht="12.75">
      <c r="A98" s="597">
        <f>+A95+1</f>
        <v>7</v>
      </c>
      <c r="B98" s="1430" t="s">
        <v>414</v>
      </c>
      <c r="C98" s="1431">
        <f>+H89</f>
        <v>0</v>
      </c>
      <c r="D98" s="1433">
        <f>VLOOKUP(+$A$1,B97:C98,2)</f>
        <v>0</v>
      </c>
      <c r="G98" s="1447"/>
      <c r="H98" s="1447">
        <f>+'IT-STATEMENT-2021-2022 OLD'!V23</f>
        <v>-9398</v>
      </c>
      <c r="I98" s="1447">
        <f>+'IT-STATEMENT-21-22 NEW'!V23</f>
        <v>8711</v>
      </c>
    </row>
    <row r="99" spans="7:9" ht="12.75">
      <c r="G99" s="1447"/>
      <c r="H99" s="1447">
        <f>+H97-H98</f>
        <v>0</v>
      </c>
      <c r="I99" s="1447">
        <f>+I97-I98</f>
        <v>0</v>
      </c>
    </row>
    <row r="100" spans="2:9" ht="13.5" thickBot="1">
      <c r="B100" s="1429" t="s">
        <v>415</v>
      </c>
      <c r="C100" s="1432">
        <f>+I90</f>
        <v>5000</v>
      </c>
      <c r="D100" s="577"/>
      <c r="G100" s="1447"/>
      <c r="H100" s="1447"/>
      <c r="I100" s="1447"/>
    </row>
    <row r="101" spans="1:4" ht="12.75">
      <c r="A101" s="597">
        <f>+A98+1</f>
        <v>8</v>
      </c>
      <c r="B101" s="1430" t="s">
        <v>414</v>
      </c>
      <c r="C101" s="1431">
        <f>+H90</f>
        <v>0</v>
      </c>
      <c r="D101" s="1433">
        <f>VLOOKUP(+$A$1,B100:C101,2)</f>
        <v>0</v>
      </c>
    </row>
    <row r="103" spans="2:4" ht="13.5" thickBot="1">
      <c r="B103" s="1429" t="s">
        <v>415</v>
      </c>
      <c r="C103" s="1432">
        <f>+I91</f>
        <v>5000</v>
      </c>
      <c r="D103" s="577"/>
    </row>
    <row r="104" spans="1:4" ht="12.75">
      <c r="A104" s="597">
        <f>+A101+1</f>
        <v>9</v>
      </c>
      <c r="B104" s="1430" t="s">
        <v>414</v>
      </c>
      <c r="C104" s="1431">
        <f>+H91</f>
        <v>0</v>
      </c>
      <c r="D104" s="1433">
        <f>VLOOKUP(+$A$1,B103:C104,2)</f>
        <v>0</v>
      </c>
    </row>
    <row r="106" spans="2:4" ht="13.5" thickBot="1">
      <c r="B106" s="1429" t="s">
        <v>415</v>
      </c>
      <c r="C106" s="1432">
        <f>+I92</f>
        <v>5000</v>
      </c>
      <c r="D106" s="577"/>
    </row>
    <row r="107" spans="1:4" ht="12.75">
      <c r="A107" s="597">
        <f>+A104+1</f>
        <v>10</v>
      </c>
      <c r="B107" s="1430" t="s">
        <v>414</v>
      </c>
      <c r="C107" s="1431">
        <f>+H92</f>
        <v>0</v>
      </c>
      <c r="D107" s="1433">
        <f>VLOOKUP(+$A$1,B106:C107,2)</f>
        <v>0</v>
      </c>
    </row>
    <row r="109" spans="2:4" ht="13.5" thickBot="1">
      <c r="B109" s="1429" t="s">
        <v>415</v>
      </c>
      <c r="C109" s="1432">
        <f>+I93</f>
        <v>5000</v>
      </c>
      <c r="D109" s="577"/>
    </row>
    <row r="110" spans="1:4" ht="12.75">
      <c r="A110" s="597">
        <f>+A107+1</f>
        <v>11</v>
      </c>
      <c r="B110" s="1430" t="s">
        <v>414</v>
      </c>
      <c r="C110" s="1431">
        <f>+H93</f>
        <v>0</v>
      </c>
      <c r="D110" s="1433">
        <f>VLOOKUP(+$A$1,B109:C110,2)</f>
        <v>0</v>
      </c>
    </row>
    <row r="112" spans="2:4" ht="13.5" thickBot="1">
      <c r="B112" s="1429" t="s">
        <v>415</v>
      </c>
      <c r="C112" s="1432">
        <f>+I94</f>
        <v>5000</v>
      </c>
      <c r="D112" s="577"/>
    </row>
    <row r="113" spans="1:4" ht="12.75">
      <c r="A113" s="597">
        <f>+A110+1</f>
        <v>12</v>
      </c>
      <c r="B113" s="1430" t="s">
        <v>414</v>
      </c>
      <c r="C113" s="1431">
        <f>+H94</f>
        <v>0</v>
      </c>
      <c r="D113" s="1433">
        <f>VLOOKUP(+$A$1,B112:C113,2)</f>
        <v>0</v>
      </c>
    </row>
    <row r="115" spans="2:4" ht="13.5" thickBot="1">
      <c r="B115" s="1429" t="s">
        <v>415</v>
      </c>
      <c r="C115" s="1432">
        <f>+I95</f>
        <v>5000</v>
      </c>
      <c r="D115" s="577"/>
    </row>
    <row r="116" spans="1:4" ht="12.75">
      <c r="A116" s="597">
        <v>1</v>
      </c>
      <c r="B116" s="1430" t="s">
        <v>414</v>
      </c>
      <c r="C116" s="1431">
        <f>+H95</f>
        <v>0</v>
      </c>
      <c r="D116" s="1433">
        <f>VLOOKUP(+$A$1,B115:C116,2)</f>
        <v>0</v>
      </c>
    </row>
    <row r="118" spans="2:4" ht="13.5" thickBot="1">
      <c r="B118" s="1429" t="s">
        <v>415</v>
      </c>
      <c r="C118" s="1432">
        <f>+I96</f>
        <v>-46289</v>
      </c>
      <c r="D118" s="577"/>
    </row>
    <row r="119" spans="1:4" ht="12.75">
      <c r="A119" s="597">
        <f>+A116+1</f>
        <v>2</v>
      </c>
      <c r="B119" s="1430" t="s">
        <v>414</v>
      </c>
      <c r="C119" s="1431">
        <f>+H96</f>
        <v>-9398</v>
      </c>
      <c r="D119" s="1433">
        <f>VLOOKUP(+$A$1,B118:C119,2)</f>
        <v>-9398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Z135"/>
  <sheetViews>
    <sheetView zoomScalePageLayoutView="0" workbookViewId="0" topLeftCell="A1">
      <selection activeCell="A17" sqref="A17:I17"/>
    </sheetView>
  </sheetViews>
  <sheetFormatPr defaultColWidth="9.140625" defaultRowHeight="18" customHeight="1"/>
  <cols>
    <col min="1" max="2" width="5.140625" style="245" customWidth="1"/>
    <col min="3" max="3" width="3.7109375" style="245" customWidth="1"/>
    <col min="4" max="4" width="16.7109375" style="245" customWidth="1"/>
    <col min="5" max="5" width="13.57421875" style="245" customWidth="1"/>
    <col min="6" max="6" width="14.7109375" style="245" customWidth="1"/>
    <col min="7" max="8" width="7.7109375" style="245" customWidth="1"/>
    <col min="9" max="9" width="20.8515625" style="245" customWidth="1"/>
    <col min="10" max="10" width="6.00390625" style="245" customWidth="1"/>
    <col min="11" max="11" width="10.140625" style="245" customWidth="1"/>
    <col min="12" max="13" width="9.140625" style="245" customWidth="1"/>
    <col min="14" max="14" width="10.7109375" style="245" customWidth="1"/>
    <col min="15" max="15" width="13.7109375" style="245" customWidth="1"/>
    <col min="16" max="16" width="10.7109375" style="245" customWidth="1"/>
    <col min="17" max="17" width="11.8515625" style="245" customWidth="1"/>
    <col min="18" max="18" width="16.7109375" style="245" customWidth="1"/>
    <col min="19" max="19" width="9.140625" style="245" customWidth="1"/>
    <col min="20" max="20" width="23.00390625" style="245" customWidth="1"/>
    <col min="21" max="16384" width="9.140625" style="245" customWidth="1"/>
  </cols>
  <sheetData>
    <row r="1" spans="1:9" ht="49.5" customHeight="1" thickBot="1">
      <c r="A1" s="2143" t="s">
        <v>103</v>
      </c>
      <c r="B1" s="2144"/>
      <c r="C1" s="2144"/>
      <c r="D1" s="2144"/>
      <c r="E1" s="2145" t="s">
        <v>104</v>
      </c>
      <c r="F1" s="2146"/>
      <c r="G1" s="2146"/>
      <c r="H1" s="2146"/>
      <c r="I1" s="2147"/>
    </row>
    <row r="2" spans="1:9" ht="18" customHeight="1" thickBot="1">
      <c r="A2" s="2007" t="s">
        <v>105</v>
      </c>
      <c r="B2" s="2008"/>
      <c r="C2" s="2008"/>
      <c r="D2" s="2008"/>
      <c r="E2" s="2008"/>
      <c r="F2" s="2148" t="s">
        <v>106</v>
      </c>
      <c r="G2" s="2149"/>
      <c r="H2" s="2149"/>
      <c r="I2" s="2150"/>
    </row>
    <row r="3" spans="1:9" ht="18" customHeight="1" thickBot="1">
      <c r="A3" s="2140">
        <f>+P132</f>
        <v>0</v>
      </c>
      <c r="B3" s="2141"/>
      <c r="C3" s="2141"/>
      <c r="D3" s="2141"/>
      <c r="E3" s="2142"/>
      <c r="F3" s="2137" t="str">
        <f>+'IT-STATEMENT-2021-2022 OLD'!I3</f>
        <v>S.BALAJI</v>
      </c>
      <c r="G3" s="2138"/>
      <c r="H3" s="2138"/>
      <c r="I3" s="2139"/>
    </row>
    <row r="4" spans="1:9" ht="18" customHeight="1" thickBot="1">
      <c r="A4" s="2140" t="s">
        <v>289</v>
      </c>
      <c r="B4" s="2141"/>
      <c r="C4" s="2141"/>
      <c r="D4" s="2141"/>
      <c r="E4" s="2142"/>
      <c r="F4" s="2137" t="str">
        <f>+'IT-STATEMENT-2021-2022 OLD'!I4</f>
        <v>JE-II</v>
      </c>
      <c r="G4" s="2138"/>
      <c r="H4" s="2138"/>
      <c r="I4" s="2139"/>
    </row>
    <row r="5" spans="1:9" ht="18" customHeight="1" thickBot="1">
      <c r="A5" s="2140" t="s">
        <v>446</v>
      </c>
      <c r="B5" s="2141"/>
      <c r="C5" s="2141"/>
      <c r="D5" s="2141"/>
      <c r="E5" s="2142"/>
      <c r="F5" s="2137" t="str">
        <f>+'IT-STATEMENT-2021-2022 OLD'!I5</f>
        <v>110KV NANDANAM SS</v>
      </c>
      <c r="G5" s="2138"/>
      <c r="H5" s="2138"/>
      <c r="I5" s="2139"/>
    </row>
    <row r="6" spans="1:9" ht="24" customHeight="1" thickBot="1">
      <c r="A6" s="2011" t="s">
        <v>109</v>
      </c>
      <c r="B6" s="2012"/>
      <c r="C6" s="2012"/>
      <c r="D6" s="2012" t="s">
        <v>110</v>
      </c>
      <c r="E6" s="2012"/>
      <c r="F6" s="2012" t="s">
        <v>111</v>
      </c>
      <c r="G6" s="2012"/>
      <c r="H6" s="2012"/>
      <c r="I6" s="2013"/>
    </row>
    <row r="7" spans="1:9" ht="18" customHeight="1" thickBot="1">
      <c r="A7" s="2120" t="str">
        <f>+O106</f>
        <v>AADCT4784E</v>
      </c>
      <c r="B7" s="2121"/>
      <c r="C7" s="2121"/>
      <c r="D7" s="2122" t="str">
        <f>+R106</f>
        <v>CHET12068A</v>
      </c>
      <c r="E7" s="2122"/>
      <c r="F7" s="2123" t="str">
        <f>+'IT-STATEMENT-2021-2022 OLD'!Q4</f>
        <v>ABCDE1234Z</v>
      </c>
      <c r="G7" s="2123"/>
      <c r="H7" s="2123"/>
      <c r="I7" s="2124"/>
    </row>
    <row r="8" spans="1:9" ht="13.5" customHeight="1">
      <c r="A8" s="2040" t="s">
        <v>112</v>
      </c>
      <c r="B8" s="2041"/>
      <c r="C8" s="2041"/>
      <c r="D8" s="2041"/>
      <c r="E8" s="2042"/>
      <c r="F8" s="2127" t="s">
        <v>113</v>
      </c>
      <c r="G8" s="2128"/>
      <c r="H8" s="2128" t="s">
        <v>114</v>
      </c>
      <c r="I8" s="2129"/>
    </row>
    <row r="9" spans="1:9" ht="13.5" customHeight="1">
      <c r="A9" s="2043"/>
      <c r="B9" s="2044"/>
      <c r="C9" s="2044"/>
      <c r="D9" s="2044"/>
      <c r="E9" s="2045"/>
      <c r="F9" s="2130" t="s">
        <v>402</v>
      </c>
      <c r="G9" s="2131"/>
      <c r="H9" s="2131" t="s">
        <v>433</v>
      </c>
      <c r="I9" s="2132"/>
    </row>
    <row r="10" spans="1:9" ht="6.75" customHeight="1">
      <c r="A10" s="2043"/>
      <c r="B10" s="2044"/>
      <c r="C10" s="2044"/>
      <c r="D10" s="2044"/>
      <c r="E10" s="2045"/>
      <c r="F10" s="2135" t="s">
        <v>445</v>
      </c>
      <c r="G10" s="1997"/>
      <c r="H10" s="2131"/>
      <c r="I10" s="2132"/>
    </row>
    <row r="11" spans="1:9" ht="6.75" customHeight="1" thickBot="1">
      <c r="A11" s="2046"/>
      <c r="B11" s="2047"/>
      <c r="C11" s="2047"/>
      <c r="D11" s="2047"/>
      <c r="E11" s="2048"/>
      <c r="F11" s="2136"/>
      <c r="G11" s="1994"/>
      <c r="H11" s="2133"/>
      <c r="I11" s="2134"/>
    </row>
    <row r="12" spans="1:9" ht="13.5" customHeight="1" thickBot="1">
      <c r="A12" s="2007" t="s">
        <v>115</v>
      </c>
      <c r="B12" s="2008"/>
      <c r="C12" s="2008"/>
      <c r="D12" s="2008" t="s">
        <v>116</v>
      </c>
      <c r="E12" s="2008"/>
      <c r="F12" s="2008" t="s">
        <v>117</v>
      </c>
      <c r="G12" s="2008"/>
      <c r="H12" s="2008" t="s">
        <v>118</v>
      </c>
      <c r="I12" s="2049"/>
    </row>
    <row r="13" spans="1:9" ht="13.5" customHeight="1">
      <c r="A13" s="246" t="s">
        <v>119</v>
      </c>
      <c r="B13" s="2114">
        <f>+P112</f>
        <v>0</v>
      </c>
      <c r="C13" s="2114"/>
      <c r="D13" s="2115">
        <f>+R112</f>
        <v>0</v>
      </c>
      <c r="E13" s="2116"/>
      <c r="F13" s="2117" t="s">
        <v>447</v>
      </c>
      <c r="G13" s="2118"/>
      <c r="H13" s="2118" t="s">
        <v>451</v>
      </c>
      <c r="I13" s="2119"/>
    </row>
    <row r="14" spans="1:9" ht="13.5" customHeight="1">
      <c r="A14" s="247" t="s">
        <v>120</v>
      </c>
      <c r="B14" s="2107">
        <f>+P113</f>
        <v>0</v>
      </c>
      <c r="C14" s="2107"/>
      <c r="D14" s="2108">
        <f>+R113</f>
        <v>0</v>
      </c>
      <c r="E14" s="2109"/>
      <c r="F14" s="2110" t="s">
        <v>448</v>
      </c>
      <c r="G14" s="2105"/>
      <c r="H14" s="2105" t="s">
        <v>452</v>
      </c>
      <c r="I14" s="2106"/>
    </row>
    <row r="15" spans="1:9" ht="13.5" customHeight="1">
      <c r="A15" s="247" t="s">
        <v>121</v>
      </c>
      <c r="B15" s="2107">
        <f>+P114</f>
        <v>0</v>
      </c>
      <c r="C15" s="2107"/>
      <c r="D15" s="2108">
        <f>+R114</f>
        <v>0</v>
      </c>
      <c r="E15" s="2109"/>
      <c r="F15" s="2110" t="s">
        <v>449</v>
      </c>
      <c r="G15" s="2105"/>
      <c r="H15" s="2105" t="s">
        <v>453</v>
      </c>
      <c r="I15" s="2106"/>
    </row>
    <row r="16" spans="1:9" ht="13.5" customHeight="1" thickBot="1">
      <c r="A16" s="248" t="s">
        <v>122</v>
      </c>
      <c r="B16" s="2107">
        <f>+P115</f>
        <v>0</v>
      </c>
      <c r="C16" s="2107"/>
      <c r="D16" s="2108">
        <f>+R115</f>
        <v>0</v>
      </c>
      <c r="E16" s="2109"/>
      <c r="F16" s="2113" t="s">
        <v>450</v>
      </c>
      <c r="G16" s="2095"/>
      <c r="H16" s="2095" t="s">
        <v>454</v>
      </c>
      <c r="I16" s="2096"/>
    </row>
    <row r="17" spans="1:9" ht="21" customHeight="1" thickBot="1">
      <c r="A17" s="2097" t="s">
        <v>123</v>
      </c>
      <c r="B17" s="2098"/>
      <c r="C17" s="2098"/>
      <c r="D17" s="2098"/>
      <c r="E17" s="2098"/>
      <c r="F17" s="2098"/>
      <c r="G17" s="2098"/>
      <c r="H17" s="2098"/>
      <c r="I17" s="2099"/>
    </row>
    <row r="18" spans="1:9" ht="15" customHeight="1">
      <c r="A18" s="2100" t="s">
        <v>124</v>
      </c>
      <c r="B18" s="2102" t="s">
        <v>125</v>
      </c>
      <c r="C18" s="2102"/>
      <c r="D18" s="2102"/>
      <c r="E18" s="2103"/>
      <c r="F18" s="249" t="s">
        <v>85</v>
      </c>
      <c r="G18" s="2104" t="s">
        <v>85</v>
      </c>
      <c r="H18" s="2104"/>
      <c r="I18" s="250" t="s">
        <v>85</v>
      </c>
    </row>
    <row r="19" spans="1:9" ht="27" customHeight="1">
      <c r="A19" s="2101"/>
      <c r="B19" s="251" t="s">
        <v>126</v>
      </c>
      <c r="C19" s="2081" t="s">
        <v>127</v>
      </c>
      <c r="D19" s="2081"/>
      <c r="E19" s="2081"/>
      <c r="F19" s="582">
        <f>+Sheet2!D4</f>
        <v>417510</v>
      </c>
      <c r="G19" s="2086"/>
      <c r="H19" s="2086"/>
      <c r="I19" s="529"/>
    </row>
    <row r="20" spans="1:9" ht="40.5" customHeight="1">
      <c r="A20" s="2101"/>
      <c r="B20" s="251" t="s">
        <v>128</v>
      </c>
      <c r="C20" s="2081" t="s">
        <v>129</v>
      </c>
      <c r="D20" s="2081"/>
      <c r="E20" s="2081"/>
      <c r="F20" s="530"/>
      <c r="G20" s="2086"/>
      <c r="H20" s="2086"/>
      <c r="I20" s="529"/>
    </row>
    <row r="21" spans="1:9" ht="40.5" customHeight="1">
      <c r="A21" s="2101"/>
      <c r="B21" s="251" t="s">
        <v>130</v>
      </c>
      <c r="C21" s="2081" t="s">
        <v>131</v>
      </c>
      <c r="D21" s="2081"/>
      <c r="E21" s="2081"/>
      <c r="F21" s="530"/>
      <c r="G21" s="2086"/>
      <c r="H21" s="2086"/>
      <c r="I21" s="529"/>
    </row>
    <row r="22" spans="1:9" ht="18.75" customHeight="1">
      <c r="A22" s="2101"/>
      <c r="B22" s="253" t="s">
        <v>132</v>
      </c>
      <c r="C22" s="1988" t="s">
        <v>3</v>
      </c>
      <c r="D22" s="1988"/>
      <c r="E22" s="1988"/>
      <c r="F22" s="528">
        <f>+F19</f>
        <v>417510</v>
      </c>
      <c r="G22" s="2086"/>
      <c r="H22" s="2086"/>
      <c r="I22" s="529"/>
    </row>
    <row r="23" spans="1:9" ht="27" customHeight="1">
      <c r="A23" s="254" t="s">
        <v>133</v>
      </c>
      <c r="B23" s="2111" t="s">
        <v>134</v>
      </c>
      <c r="C23" s="2112"/>
      <c r="D23" s="2112"/>
      <c r="E23" s="2112"/>
      <c r="F23" s="531">
        <f>+Sheet2!D7</f>
        <v>31200</v>
      </c>
      <c r="G23" s="2086"/>
      <c r="H23" s="2086"/>
      <c r="I23" s="529"/>
    </row>
    <row r="24" spans="1:9" ht="15" customHeight="1">
      <c r="A24" s="255" t="s">
        <v>135</v>
      </c>
      <c r="B24" s="2087" t="s">
        <v>136</v>
      </c>
      <c r="C24" s="2088"/>
      <c r="D24" s="2088"/>
      <c r="E24" s="2088"/>
      <c r="F24" s="530"/>
      <c r="G24" s="2071"/>
      <c r="H24" s="2071"/>
      <c r="I24" s="532">
        <f>F22-F23</f>
        <v>386310</v>
      </c>
    </row>
    <row r="25" spans="1:9" ht="15" customHeight="1">
      <c r="A25" s="257" t="s">
        <v>137</v>
      </c>
      <c r="B25" s="2089" t="s">
        <v>273</v>
      </c>
      <c r="C25" s="2090"/>
      <c r="D25" s="2090"/>
      <c r="E25" s="2091"/>
      <c r="F25" s="533">
        <f>+Sheet2!D10</f>
        <v>4660</v>
      </c>
      <c r="G25" s="2092"/>
      <c r="H25" s="2092"/>
      <c r="I25" s="535"/>
    </row>
    <row r="26" spans="1:19" ht="15" customHeight="1">
      <c r="A26" s="257"/>
      <c r="B26" s="258" t="s">
        <v>128</v>
      </c>
      <c r="C26" s="2093" t="s">
        <v>221</v>
      </c>
      <c r="D26" s="2093"/>
      <c r="E26" s="2094"/>
      <c r="F26" s="533">
        <f>+Sheet2!D13</f>
        <v>0</v>
      </c>
      <c r="G26" s="534"/>
      <c r="H26" s="534"/>
      <c r="I26" s="535"/>
      <c r="O26" s="2003"/>
      <c r="P26" s="1649"/>
      <c r="Q26" s="1649"/>
      <c r="R26" s="1649"/>
      <c r="S26" s="1650"/>
    </row>
    <row r="27" spans="1:9" ht="15" customHeight="1">
      <c r="A27" s="257"/>
      <c r="B27" s="258" t="s">
        <v>130</v>
      </c>
      <c r="C27" s="2093" t="s">
        <v>222</v>
      </c>
      <c r="D27" s="2093"/>
      <c r="E27" s="2094"/>
      <c r="F27" s="533">
        <f>+Sheet2!D16</f>
        <v>0</v>
      </c>
      <c r="G27" s="2092"/>
      <c r="H27" s="2092"/>
      <c r="I27" s="535"/>
    </row>
    <row r="28" spans="1:9" ht="15" customHeight="1">
      <c r="A28" s="257"/>
      <c r="B28" s="258" t="s">
        <v>132</v>
      </c>
      <c r="C28" s="2093" t="s">
        <v>223</v>
      </c>
      <c r="D28" s="2093"/>
      <c r="E28" s="2094"/>
      <c r="F28" s="533">
        <f>+Sheet2!D19</f>
        <v>0</v>
      </c>
      <c r="G28" s="2092"/>
      <c r="H28" s="2092"/>
      <c r="I28" s="535"/>
    </row>
    <row r="29" spans="1:9" ht="15" customHeight="1">
      <c r="A29" s="971"/>
      <c r="B29" s="969" t="s">
        <v>164</v>
      </c>
      <c r="C29" s="2093" t="s">
        <v>395</v>
      </c>
      <c r="D29" s="2093"/>
      <c r="E29" s="2094"/>
      <c r="F29" s="970">
        <f>+Sheet2!D22</f>
        <v>50000</v>
      </c>
      <c r="G29" s="2125"/>
      <c r="H29" s="2126"/>
      <c r="I29" s="535"/>
    </row>
    <row r="30" spans="1:9" ht="15" customHeight="1">
      <c r="A30" s="255" t="s">
        <v>138</v>
      </c>
      <c r="B30" s="2082" t="s">
        <v>139</v>
      </c>
      <c r="C30" s="1988"/>
      <c r="D30" s="1988"/>
      <c r="E30" s="1989"/>
      <c r="F30" s="528">
        <f>SUM(F25:F29)</f>
        <v>54660</v>
      </c>
      <c r="G30" s="2083"/>
      <c r="H30" s="2083"/>
      <c r="I30" s="536"/>
    </row>
    <row r="31" spans="1:9" ht="27" customHeight="1">
      <c r="A31" s="260" t="s">
        <v>140</v>
      </c>
      <c r="B31" s="2080" t="s">
        <v>141</v>
      </c>
      <c r="C31" s="2081"/>
      <c r="D31" s="2081"/>
      <c r="E31" s="2081"/>
      <c r="F31" s="530"/>
      <c r="G31" s="2071"/>
      <c r="H31" s="2071"/>
      <c r="I31" s="580">
        <f>I24-F30</f>
        <v>331650</v>
      </c>
    </row>
    <row r="32" spans="1:9" ht="27" customHeight="1">
      <c r="A32" s="260" t="s">
        <v>142</v>
      </c>
      <c r="B32" s="2069" t="s">
        <v>143</v>
      </c>
      <c r="C32" s="2070"/>
      <c r="D32" s="2070"/>
      <c r="E32" s="2070"/>
      <c r="F32" s="530"/>
      <c r="G32" s="2071"/>
      <c r="H32" s="2071"/>
      <c r="I32" s="537"/>
    </row>
    <row r="33" spans="1:14" ht="15" customHeight="1" thickBot="1">
      <c r="A33" s="261" t="s">
        <v>144</v>
      </c>
      <c r="B33" s="262" t="s">
        <v>145</v>
      </c>
      <c r="C33" s="263"/>
      <c r="D33" s="263"/>
      <c r="E33" s="264"/>
      <c r="F33" s="538"/>
      <c r="G33" s="2072"/>
      <c r="H33" s="2072"/>
      <c r="I33" s="581">
        <f>+Sheet2!D25</f>
        <v>331650</v>
      </c>
      <c r="N33" s="265"/>
    </row>
    <row r="34" spans="1:9" ht="12.75" customHeight="1">
      <c r="A34" s="2073" t="s">
        <v>146</v>
      </c>
      <c r="B34" s="2075" t="s">
        <v>147</v>
      </c>
      <c r="C34" s="2076"/>
      <c r="D34" s="2076"/>
      <c r="E34" s="2076"/>
      <c r="F34" s="2077"/>
      <c r="G34" s="2078" t="s">
        <v>148</v>
      </c>
      <c r="H34" s="2036"/>
      <c r="I34" s="2061" t="s">
        <v>149</v>
      </c>
    </row>
    <row r="35" spans="1:9" ht="12.75" customHeight="1" thickBot="1">
      <c r="A35" s="2074"/>
      <c r="B35" s="266" t="s">
        <v>150</v>
      </c>
      <c r="C35" s="2063" t="s">
        <v>151</v>
      </c>
      <c r="D35" s="2063"/>
      <c r="E35" s="2063"/>
      <c r="F35" s="2064"/>
      <c r="G35" s="2079"/>
      <c r="H35" s="2037"/>
      <c r="I35" s="2062"/>
    </row>
    <row r="36" spans="1:9" ht="12.75" customHeight="1">
      <c r="A36" s="2074"/>
      <c r="B36" s="267"/>
      <c r="C36" s="367" t="s">
        <v>126</v>
      </c>
      <c r="D36" s="2065" t="s">
        <v>152</v>
      </c>
      <c r="E36" s="2065"/>
      <c r="F36" s="2066"/>
      <c r="G36" s="2067"/>
      <c r="H36" s="2068"/>
      <c r="I36" s="542"/>
    </row>
    <row r="37" spans="1:9" ht="12.75" customHeight="1">
      <c r="A37" s="2074"/>
      <c r="B37" s="267"/>
      <c r="C37" s="368">
        <v>1</v>
      </c>
      <c r="D37" s="2050" t="str">
        <f>+'IT-STATEMENT-2021-2022 OLD'!R31</f>
        <v>GPF Subscription</v>
      </c>
      <c r="E37" s="2050"/>
      <c r="F37" s="2051"/>
      <c r="G37" s="2084"/>
      <c r="H37" s="2085"/>
      <c r="I37" s="540">
        <f>+Sheet2!D29</f>
        <v>0</v>
      </c>
    </row>
    <row r="38" spans="1:9" ht="12.75" customHeight="1">
      <c r="A38" s="2074"/>
      <c r="B38" s="267"/>
      <c r="C38" s="368">
        <v>2</v>
      </c>
      <c r="D38" s="2050" t="str">
        <f>+'IT-STATEMENT-2021-2022 OLD'!R32</f>
        <v>PVT.LIC</v>
      </c>
      <c r="E38" s="2050"/>
      <c r="F38" s="2051"/>
      <c r="G38" s="2084"/>
      <c r="H38" s="2085"/>
      <c r="I38" s="540">
        <f>+Sheet2!D32</f>
        <v>10000</v>
      </c>
    </row>
    <row r="39" spans="1:9" ht="12.75" customHeight="1">
      <c r="A39" s="2074"/>
      <c r="B39" s="267"/>
      <c r="C39" s="368">
        <v>3</v>
      </c>
      <c r="D39" s="2050" t="str">
        <f>+'IT-STATEMENT-2021-2022 OLD'!R33</f>
        <v>FSFS/SPF/SPFG2000</v>
      </c>
      <c r="E39" s="2050"/>
      <c r="F39" s="2051"/>
      <c r="G39" s="2052"/>
      <c r="H39" s="2053"/>
      <c r="I39" s="540">
        <f>+Sheet2!D38</f>
        <v>2400</v>
      </c>
    </row>
    <row r="40" spans="1:9" ht="12.75" customHeight="1">
      <c r="A40" s="2074"/>
      <c r="B40" s="267"/>
      <c r="C40" s="368">
        <v>4</v>
      </c>
      <c r="D40" s="2050" t="str">
        <f>+'IT-STATEMENT-2021-2022 OLD'!R34</f>
        <v>PPF Subscription</v>
      </c>
      <c r="E40" s="2050"/>
      <c r="F40" s="2051"/>
      <c r="G40" s="2052"/>
      <c r="H40" s="2053"/>
      <c r="I40" s="540">
        <f>+Sheet2!D41</f>
        <v>0</v>
      </c>
    </row>
    <row r="41" spans="1:9" ht="12.75" customHeight="1">
      <c r="A41" s="2074"/>
      <c r="B41" s="267"/>
      <c r="C41" s="368">
        <v>5</v>
      </c>
      <c r="D41" s="2050" t="str">
        <f>+'IT-STATEMENT-2021-2022 OLD'!R35</f>
        <v>PLI Subscription</v>
      </c>
      <c r="E41" s="2050"/>
      <c r="F41" s="2051"/>
      <c r="G41" s="2052"/>
      <c r="H41" s="2053"/>
      <c r="I41" s="540">
        <f>+Sheet2!D35</f>
        <v>0</v>
      </c>
    </row>
    <row r="42" spans="1:9" ht="12.75" customHeight="1">
      <c r="A42" s="2074"/>
      <c r="B42" s="267"/>
      <c r="C42" s="368">
        <v>6</v>
      </c>
      <c r="D42" s="2050" t="str">
        <f>+'IT-STATEMENT-2021-2022 OLD'!R36</f>
        <v>LIC Subscription</v>
      </c>
      <c r="E42" s="2050"/>
      <c r="F42" s="2051"/>
      <c r="G42" s="2052"/>
      <c r="H42" s="2053"/>
      <c r="I42" s="540">
        <f>+Sheet2!D44</f>
        <v>0</v>
      </c>
    </row>
    <row r="43" spans="1:9" ht="12.75" customHeight="1">
      <c r="A43" s="2074"/>
      <c r="B43" s="267"/>
      <c r="C43" s="368">
        <v>7</v>
      </c>
      <c r="D43" s="2050" t="str">
        <f>+'IT-STATEMENT-2021-2022 OLD'!R37</f>
        <v>Tution Fees</v>
      </c>
      <c r="E43" s="2050"/>
      <c r="F43" s="2051"/>
      <c r="G43" s="2052"/>
      <c r="H43" s="2053"/>
      <c r="I43" s="540">
        <f>+Sheet2!D47</f>
        <v>0</v>
      </c>
    </row>
    <row r="44" spans="1:9" ht="12.75" customHeight="1">
      <c r="A44" s="2074"/>
      <c r="B44" s="267"/>
      <c r="C44" s="368">
        <v>8</v>
      </c>
      <c r="D44" s="2050" t="str">
        <f>+'IT-STATEMENT-2021-2022 OLD'!R38</f>
        <v>ICICI Prudential</v>
      </c>
      <c r="E44" s="2050"/>
      <c r="F44" s="2051"/>
      <c r="G44" s="2052"/>
      <c r="H44" s="2053"/>
      <c r="I44" s="540">
        <f>+Sheet2!D50</f>
        <v>0</v>
      </c>
    </row>
    <row r="45" spans="1:9" ht="12.75" customHeight="1">
      <c r="A45" s="2074"/>
      <c r="B45" s="267"/>
      <c r="C45" s="368">
        <v>9</v>
      </c>
      <c r="D45" s="2050" t="str">
        <f>+'IT-STATEMENT-2021-2022 OLD'!R39</f>
        <v>Refund of loan for H.B.A.</v>
      </c>
      <c r="E45" s="2050"/>
      <c r="F45" s="2051"/>
      <c r="G45" s="2052"/>
      <c r="H45" s="2053"/>
      <c r="I45" s="540">
        <f>+Sheet2!D53</f>
        <v>0</v>
      </c>
    </row>
    <row r="46" spans="1:21" ht="12.75" customHeight="1">
      <c r="A46" s="269"/>
      <c r="B46" s="267"/>
      <c r="C46" s="270" t="s">
        <v>128</v>
      </c>
      <c r="D46" s="271" t="s">
        <v>153</v>
      </c>
      <c r="E46" s="271"/>
      <c r="F46" s="272"/>
      <c r="G46" s="2052"/>
      <c r="H46" s="2053"/>
      <c r="I46" s="541"/>
      <c r="S46" s="273"/>
      <c r="T46" s="273"/>
      <c r="U46" s="273"/>
    </row>
    <row r="47" spans="1:9" ht="12.75" customHeight="1" thickBot="1">
      <c r="A47" s="274"/>
      <c r="B47" s="275"/>
      <c r="C47" s="276" t="s">
        <v>130</v>
      </c>
      <c r="D47" s="277" t="s">
        <v>154</v>
      </c>
      <c r="E47" s="277"/>
      <c r="F47" s="278"/>
      <c r="G47" s="2056"/>
      <c r="H47" s="2057"/>
      <c r="I47" s="562"/>
    </row>
    <row r="48" spans="1:9" ht="24" customHeight="1" thickBot="1">
      <c r="A48" s="2058" t="s">
        <v>155</v>
      </c>
      <c r="B48" s="2059"/>
      <c r="C48" s="2059"/>
      <c r="D48" s="2059"/>
      <c r="E48" s="2059"/>
      <c r="F48" s="2059"/>
      <c r="G48" s="2059"/>
      <c r="H48" s="2059"/>
      <c r="I48" s="2060"/>
    </row>
    <row r="49" spans="10:18" ht="18" customHeight="1">
      <c r="J49" s="280" t="s">
        <v>156</v>
      </c>
      <c r="K49" s="281" t="s">
        <v>157</v>
      </c>
      <c r="L49" s="282"/>
      <c r="M49" s="282"/>
      <c r="N49" s="282"/>
      <c r="O49" s="282"/>
      <c r="P49" s="2034" t="s">
        <v>158</v>
      </c>
      <c r="Q49" s="2034" t="s">
        <v>159</v>
      </c>
      <c r="R49" s="2036" t="s">
        <v>160</v>
      </c>
    </row>
    <row r="50" spans="10:21" ht="18" customHeight="1" thickBot="1">
      <c r="J50" s="274"/>
      <c r="K50" s="284" t="s">
        <v>161</v>
      </c>
      <c r="L50" s="277"/>
      <c r="M50" s="277"/>
      <c r="N50" s="277"/>
      <c r="O50" s="278"/>
      <c r="P50" s="2035"/>
      <c r="Q50" s="2035"/>
      <c r="R50" s="2037"/>
      <c r="U50" s="285"/>
    </row>
    <row r="51" spans="10:21" ht="15.75" customHeight="1">
      <c r="J51" s="269"/>
      <c r="K51" s="259" t="s">
        <v>126</v>
      </c>
      <c r="L51" s="2054" t="s">
        <v>162</v>
      </c>
      <c r="M51" s="2054"/>
      <c r="N51" s="2054"/>
      <c r="O51" s="2055"/>
      <c r="P51" s="286"/>
      <c r="Q51" s="539"/>
      <c r="R51" s="540"/>
      <c r="U51" s="285"/>
    </row>
    <row r="52" spans="10:18" ht="15.75" customHeight="1">
      <c r="J52" s="269"/>
      <c r="K52" s="256" t="s">
        <v>128</v>
      </c>
      <c r="L52" s="1988" t="s">
        <v>163</v>
      </c>
      <c r="M52" s="1988"/>
      <c r="N52" s="1988"/>
      <c r="O52" s="1989"/>
      <c r="P52" s="252"/>
      <c r="Q52" s="530"/>
      <c r="R52" s="541"/>
    </row>
    <row r="53" spans="10:18" ht="15.75" customHeight="1">
      <c r="J53" s="269"/>
      <c r="K53" s="256" t="s">
        <v>130</v>
      </c>
      <c r="L53" s="1988" t="s">
        <v>163</v>
      </c>
      <c r="M53" s="1988"/>
      <c r="N53" s="1988"/>
      <c r="O53" s="1989"/>
      <c r="P53" s="252"/>
      <c r="Q53" s="530"/>
      <c r="R53" s="541"/>
    </row>
    <row r="54" spans="10:18" ht="15.75" customHeight="1">
      <c r="J54" s="269"/>
      <c r="K54" s="256" t="s">
        <v>132</v>
      </c>
      <c r="L54" s="1988" t="s">
        <v>163</v>
      </c>
      <c r="M54" s="1988"/>
      <c r="N54" s="1988"/>
      <c r="O54" s="1989"/>
      <c r="P54" s="252"/>
      <c r="Q54" s="530"/>
      <c r="R54" s="541"/>
    </row>
    <row r="55" spans="10:18" ht="15.75" customHeight="1" thickBot="1">
      <c r="J55" s="274"/>
      <c r="K55" s="287" t="s">
        <v>164</v>
      </c>
      <c r="L55" s="2014" t="s">
        <v>163</v>
      </c>
      <c r="M55" s="2014"/>
      <c r="N55" s="2014"/>
      <c r="O55" s="2015"/>
      <c r="P55" s="288"/>
      <c r="Q55" s="538"/>
      <c r="R55" s="542"/>
    </row>
    <row r="56" spans="10:18" ht="15.75" customHeight="1">
      <c r="J56" s="289" t="s">
        <v>165</v>
      </c>
      <c r="K56" s="290" t="s">
        <v>166</v>
      </c>
      <c r="L56" s="290"/>
      <c r="M56" s="290"/>
      <c r="N56" s="290"/>
      <c r="O56" s="290"/>
      <c r="P56" s="291"/>
      <c r="Q56" s="543" t="s">
        <v>85</v>
      </c>
      <c r="R56" s="544">
        <f>+Sheet2!D56</f>
        <v>12400</v>
      </c>
    </row>
    <row r="57" spans="10:20" ht="15.75" customHeight="1">
      <c r="J57" s="292" t="s">
        <v>167</v>
      </c>
      <c r="K57" s="293" t="s">
        <v>168</v>
      </c>
      <c r="L57" s="294"/>
      <c r="M57" s="294"/>
      <c r="N57" s="294"/>
      <c r="O57" s="294"/>
      <c r="P57" s="295"/>
      <c r="Q57" s="545" t="s">
        <v>85</v>
      </c>
      <c r="R57" s="532">
        <f>+Sheet2!D59</f>
        <v>319250</v>
      </c>
      <c r="T57" s="1448">
        <f>+I33-'IT-STATEMENT-21-22 NEW'!R34</f>
        <v>81650</v>
      </c>
    </row>
    <row r="58" spans="10:18" ht="15.75" customHeight="1">
      <c r="J58" s="255" t="s">
        <v>169</v>
      </c>
      <c r="K58" s="296" t="s">
        <v>170</v>
      </c>
      <c r="L58" s="271"/>
      <c r="M58" s="271"/>
      <c r="N58" s="271"/>
      <c r="O58" s="271"/>
      <c r="P58" s="297"/>
      <c r="Q58" s="545" t="s">
        <v>85</v>
      </c>
      <c r="R58" s="532">
        <f>+Sheet2!D62</f>
        <v>-9037</v>
      </c>
    </row>
    <row r="59" spans="10:18" ht="15.75" customHeight="1">
      <c r="J59" s="255" t="s">
        <v>171</v>
      </c>
      <c r="K59" s="271" t="s">
        <v>172</v>
      </c>
      <c r="L59" s="271"/>
      <c r="M59" s="271"/>
      <c r="N59" s="271"/>
      <c r="O59" s="271"/>
      <c r="P59" s="297"/>
      <c r="Q59" s="545" t="s">
        <v>85</v>
      </c>
      <c r="R59" s="532">
        <f>+Sheet2!D65</f>
        <v>0</v>
      </c>
    </row>
    <row r="60" spans="10:18" ht="15.75" customHeight="1">
      <c r="J60" s="298" t="s">
        <v>173</v>
      </c>
      <c r="K60" s="299" t="s">
        <v>430</v>
      </c>
      <c r="L60" s="294"/>
      <c r="M60" s="294"/>
      <c r="N60" s="294"/>
      <c r="O60" s="294"/>
      <c r="P60" s="297"/>
      <c r="Q60" s="545"/>
      <c r="R60" s="2032">
        <f>+Sheet2!D68</f>
        <v>-361</v>
      </c>
    </row>
    <row r="61" spans="10:18" ht="15.75" customHeight="1">
      <c r="J61" s="300"/>
      <c r="K61" s="301" t="s">
        <v>174</v>
      </c>
      <c r="L61" s="302"/>
      <c r="M61" s="302"/>
      <c r="N61" s="302"/>
      <c r="O61" s="302"/>
      <c r="P61" s="297"/>
      <c r="Q61" s="545" t="s">
        <v>85</v>
      </c>
      <c r="R61" s="2033"/>
    </row>
    <row r="62" spans="10:18" ht="15.75" customHeight="1">
      <c r="J62" s="292" t="s">
        <v>175</v>
      </c>
      <c r="K62" s="294" t="s">
        <v>176</v>
      </c>
      <c r="L62" s="294"/>
      <c r="M62" s="294"/>
      <c r="N62" s="294"/>
      <c r="O62" s="294"/>
      <c r="P62" s="297"/>
      <c r="Q62" s="545" t="s">
        <v>85</v>
      </c>
      <c r="R62" s="532">
        <f>+Sheet2!D71</f>
        <v>-9398</v>
      </c>
    </row>
    <row r="63" spans="10:18" ht="15.75" customHeight="1">
      <c r="J63" s="255" t="s">
        <v>177</v>
      </c>
      <c r="K63" s="271" t="s">
        <v>178</v>
      </c>
      <c r="L63" s="271"/>
      <c r="M63" s="271"/>
      <c r="N63" s="271"/>
      <c r="O63" s="271"/>
      <c r="P63" s="297"/>
      <c r="Q63" s="545" t="s">
        <v>85</v>
      </c>
      <c r="R63" s="532">
        <f>+Sheet2!D74</f>
        <v>0</v>
      </c>
    </row>
    <row r="64" spans="10:18" ht="15.75" customHeight="1">
      <c r="J64" s="255" t="s">
        <v>179</v>
      </c>
      <c r="K64" s="271" t="s">
        <v>180</v>
      </c>
      <c r="L64" s="271"/>
      <c r="M64" s="271"/>
      <c r="N64" s="271"/>
      <c r="O64" s="271"/>
      <c r="P64" s="297"/>
      <c r="Q64" s="545" t="s">
        <v>85</v>
      </c>
      <c r="R64" s="532">
        <f>+Sheet2!D77</f>
        <v>-9398</v>
      </c>
    </row>
    <row r="65" spans="10:18" ht="15.75" customHeight="1">
      <c r="J65" s="292" t="s">
        <v>181</v>
      </c>
      <c r="K65" s="303" t="s">
        <v>182</v>
      </c>
      <c r="L65" s="294"/>
      <c r="M65" s="294"/>
      <c r="N65" s="294"/>
      <c r="O65" s="294"/>
      <c r="P65" s="297"/>
      <c r="Q65" s="545" t="s">
        <v>85</v>
      </c>
      <c r="R65" s="532"/>
    </row>
    <row r="66" spans="10:18" ht="15.75" customHeight="1">
      <c r="J66" s="292"/>
      <c r="K66" s="304" t="s">
        <v>183</v>
      </c>
      <c r="L66" s="294"/>
      <c r="M66" s="294"/>
      <c r="N66" s="294"/>
      <c r="O66" s="294"/>
      <c r="P66" s="297"/>
      <c r="Q66" s="546"/>
      <c r="R66" s="1991" t="s">
        <v>288</v>
      </c>
    </row>
    <row r="67" spans="10:18" ht="15.75" customHeight="1">
      <c r="J67" s="300"/>
      <c r="K67" s="305" t="s">
        <v>184</v>
      </c>
      <c r="L67" s="302"/>
      <c r="M67" s="302"/>
      <c r="N67" s="302"/>
      <c r="O67" s="302"/>
      <c r="P67" s="297"/>
      <c r="Q67" s="545" t="s">
        <v>85</v>
      </c>
      <c r="R67" s="1992"/>
    </row>
    <row r="68" spans="10:18" ht="15.75" customHeight="1" thickBot="1">
      <c r="J68" s="306" t="s">
        <v>185</v>
      </c>
      <c r="K68" s="307" t="s">
        <v>186</v>
      </c>
      <c r="L68" s="277"/>
      <c r="M68" s="277"/>
      <c r="N68" s="277"/>
      <c r="O68" s="277"/>
      <c r="P68" s="308"/>
      <c r="Q68" s="547" t="s">
        <v>85</v>
      </c>
      <c r="R68" s="1993"/>
    </row>
    <row r="69" spans="10:18" ht="18" customHeight="1">
      <c r="J69" s="2016" t="s">
        <v>187</v>
      </c>
      <c r="K69" s="2017"/>
      <c r="L69" s="2017"/>
      <c r="M69" s="2017"/>
      <c r="N69" s="2017"/>
      <c r="O69" s="2017"/>
      <c r="P69" s="2018"/>
      <c r="Q69" s="2018"/>
      <c r="R69" s="2019"/>
    </row>
    <row r="70" spans="10:18" ht="14.25" customHeight="1" thickBot="1">
      <c r="J70" s="2020" t="s">
        <v>188</v>
      </c>
      <c r="K70" s="2021"/>
      <c r="L70" s="2021"/>
      <c r="M70" s="2021"/>
      <c r="N70" s="2021"/>
      <c r="O70" s="2021"/>
      <c r="P70" s="2021"/>
      <c r="Q70" s="2021"/>
      <c r="R70" s="2022"/>
    </row>
    <row r="71" spans="10:18" ht="57" customHeight="1" thickBot="1">
      <c r="J71" s="309" t="s">
        <v>189</v>
      </c>
      <c r="K71" s="283" t="s">
        <v>190</v>
      </c>
      <c r="L71" s="283" t="s">
        <v>191</v>
      </c>
      <c r="M71" s="283" t="s">
        <v>192</v>
      </c>
      <c r="N71" s="283" t="s">
        <v>193</v>
      </c>
      <c r="O71" s="283" t="s">
        <v>194</v>
      </c>
      <c r="P71" s="283" t="s">
        <v>195</v>
      </c>
      <c r="Q71" s="283" t="s">
        <v>196</v>
      </c>
      <c r="R71" s="310" t="s">
        <v>197</v>
      </c>
    </row>
    <row r="72" spans="10:18" ht="18" customHeight="1">
      <c r="J72" s="311" t="s">
        <v>198</v>
      </c>
      <c r="K72" s="526">
        <f>+Sheet2!D86</f>
        <v>0</v>
      </c>
      <c r="L72" s="312"/>
      <c r="M72" s="312"/>
      <c r="N72" s="312"/>
      <c r="O72" s="550">
        <f>+O117</f>
        <v>49000</v>
      </c>
      <c r="P72" s="551">
        <f>+P117</f>
        <v>0</v>
      </c>
      <c r="Q72" s="552">
        <f>+Q117</f>
        <v>0</v>
      </c>
      <c r="R72" s="553">
        <f>+R117</f>
        <v>0</v>
      </c>
    </row>
    <row r="73" spans="10:18" ht="18" customHeight="1">
      <c r="J73" s="313" t="s">
        <v>199</v>
      </c>
      <c r="K73" s="527">
        <f>+Sheet2!D89</f>
        <v>0</v>
      </c>
      <c r="L73" s="314"/>
      <c r="M73" s="314"/>
      <c r="N73" s="314"/>
      <c r="O73" s="554">
        <f aca="true" t="shared" si="0" ref="O73:R83">+O118</f>
        <v>129500</v>
      </c>
      <c r="P73" s="555">
        <f t="shared" si="0"/>
        <v>242465</v>
      </c>
      <c r="Q73" s="556" t="str">
        <f t="shared" si="0"/>
        <v>06.05.2016</v>
      </c>
      <c r="R73" s="557">
        <f t="shared" si="0"/>
        <v>3915</v>
      </c>
    </row>
    <row r="74" spans="10:18" ht="18" customHeight="1">
      <c r="J74" s="313" t="s">
        <v>200</v>
      </c>
      <c r="K74" s="527">
        <f>+Sheet2!D92</f>
        <v>0</v>
      </c>
      <c r="L74" s="314"/>
      <c r="M74" s="314"/>
      <c r="N74" s="314"/>
      <c r="O74" s="554">
        <f t="shared" si="0"/>
        <v>146500</v>
      </c>
      <c r="P74" s="555">
        <f t="shared" si="0"/>
        <v>242465</v>
      </c>
      <c r="Q74" s="556" t="str">
        <f t="shared" si="0"/>
        <v>07.06.2016</v>
      </c>
      <c r="R74" s="557">
        <f t="shared" si="0"/>
        <v>2472</v>
      </c>
    </row>
    <row r="75" spans="10:18" ht="18" customHeight="1">
      <c r="J75" s="313" t="s">
        <v>201</v>
      </c>
      <c r="K75" s="527">
        <f>+Sheet2!D95</f>
        <v>0</v>
      </c>
      <c r="L75" s="314"/>
      <c r="M75" s="314"/>
      <c r="N75" s="314"/>
      <c r="O75" s="554">
        <f t="shared" si="0"/>
        <v>182000</v>
      </c>
      <c r="P75" s="555">
        <f t="shared" si="0"/>
        <v>242465</v>
      </c>
      <c r="Q75" s="556" t="str">
        <f t="shared" si="0"/>
        <v>12.07.2016</v>
      </c>
      <c r="R75" s="557">
        <f t="shared" si="0"/>
        <v>432</v>
      </c>
    </row>
    <row r="76" spans="10:18" ht="18" customHeight="1">
      <c r="J76" s="313" t="s">
        <v>202</v>
      </c>
      <c r="K76" s="527">
        <f>+Sheet2!D98</f>
        <v>0</v>
      </c>
      <c r="L76" s="314"/>
      <c r="M76" s="314"/>
      <c r="N76" s="314"/>
      <c r="O76" s="554">
        <f t="shared" si="0"/>
        <v>206000</v>
      </c>
      <c r="P76" s="555">
        <f t="shared" si="0"/>
        <v>242465</v>
      </c>
      <c r="Q76" s="556" t="str">
        <f t="shared" si="0"/>
        <v>09.08.2016</v>
      </c>
      <c r="R76" s="557">
        <f t="shared" si="0"/>
        <v>1060</v>
      </c>
    </row>
    <row r="77" spans="10:21" ht="18" customHeight="1">
      <c r="J77" s="313" t="s">
        <v>203</v>
      </c>
      <c r="K77" s="527">
        <f>+Sheet2!D101</f>
        <v>0</v>
      </c>
      <c r="L77" s="314"/>
      <c r="M77" s="314"/>
      <c r="N77" s="314"/>
      <c r="O77" s="554">
        <f t="shared" si="0"/>
        <v>268375</v>
      </c>
      <c r="P77" s="555">
        <f t="shared" si="0"/>
        <v>242465</v>
      </c>
      <c r="Q77" s="556" t="str">
        <f t="shared" si="0"/>
        <v>07.09.2016</v>
      </c>
      <c r="R77" s="557">
        <f t="shared" si="0"/>
        <v>6594</v>
      </c>
      <c r="U77" s="315"/>
    </row>
    <row r="78" spans="10:18" ht="18" customHeight="1">
      <c r="J78" s="313" t="s">
        <v>204</v>
      </c>
      <c r="K78" s="527">
        <f>+Sheet2!D104</f>
        <v>0</v>
      </c>
      <c r="L78" s="314"/>
      <c r="M78" s="314"/>
      <c r="N78" s="314"/>
      <c r="O78" s="554">
        <f t="shared" si="0"/>
        <v>263500</v>
      </c>
      <c r="P78" s="555">
        <f t="shared" si="0"/>
        <v>242465</v>
      </c>
      <c r="Q78" s="556" t="str">
        <f t="shared" si="0"/>
        <v>07.10.2016</v>
      </c>
      <c r="R78" s="557">
        <f t="shared" si="0"/>
        <v>5223</v>
      </c>
    </row>
    <row r="79" spans="10:18" ht="18" customHeight="1">
      <c r="J79" s="313" t="s">
        <v>205</v>
      </c>
      <c r="K79" s="527">
        <f>+Sheet2!D107</f>
        <v>0</v>
      </c>
      <c r="L79" s="314"/>
      <c r="M79" s="314"/>
      <c r="N79" s="314"/>
      <c r="O79" s="554">
        <f t="shared" si="0"/>
        <v>0</v>
      </c>
      <c r="P79" s="555">
        <f t="shared" si="0"/>
        <v>242465</v>
      </c>
      <c r="Q79" s="556" t="str">
        <f t="shared" si="0"/>
        <v>05.11.2016</v>
      </c>
      <c r="R79" s="557">
        <f t="shared" si="0"/>
        <v>9415</v>
      </c>
    </row>
    <row r="80" spans="10:18" ht="18" customHeight="1">
      <c r="J80" s="313" t="s">
        <v>206</v>
      </c>
      <c r="K80" s="527">
        <f>+Sheet2!D110</f>
        <v>0</v>
      </c>
      <c r="L80" s="314"/>
      <c r="M80" s="314"/>
      <c r="N80" s="314"/>
      <c r="O80" s="554">
        <f t="shared" si="0"/>
        <v>0</v>
      </c>
      <c r="P80" s="555">
        <f t="shared" si="0"/>
        <v>242465</v>
      </c>
      <c r="Q80" s="556" t="str">
        <f t="shared" si="0"/>
        <v>07.12.2016</v>
      </c>
      <c r="R80" s="557">
        <f t="shared" si="0"/>
        <v>9037</v>
      </c>
    </row>
    <row r="81" spans="10:18" ht="18" customHeight="1">
      <c r="J81" s="313" t="s">
        <v>207</v>
      </c>
      <c r="K81" s="527">
        <f>+Sheet2!D113</f>
        <v>0</v>
      </c>
      <c r="L81" s="314"/>
      <c r="M81" s="314"/>
      <c r="N81" s="314"/>
      <c r="O81" s="554">
        <f t="shared" si="0"/>
        <v>0</v>
      </c>
      <c r="P81" s="555">
        <f t="shared" si="0"/>
        <v>242465</v>
      </c>
      <c r="Q81" s="556" t="str">
        <f t="shared" si="0"/>
        <v>07.01.2017</v>
      </c>
      <c r="R81" s="557">
        <f t="shared" si="0"/>
        <v>3167</v>
      </c>
    </row>
    <row r="82" spans="10:18" ht="18" customHeight="1">
      <c r="J82" s="313" t="s">
        <v>208</v>
      </c>
      <c r="K82" s="527">
        <f>+Sheet2!D116</f>
        <v>0</v>
      </c>
      <c r="L82" s="314"/>
      <c r="M82" s="314"/>
      <c r="N82" s="314"/>
      <c r="O82" s="554">
        <f t="shared" si="0"/>
        <v>0</v>
      </c>
      <c r="P82" s="555">
        <f t="shared" si="0"/>
        <v>242465</v>
      </c>
      <c r="Q82" s="556" t="str">
        <f t="shared" si="0"/>
        <v>07.02.2017</v>
      </c>
      <c r="R82" s="557">
        <f t="shared" si="0"/>
        <v>5389</v>
      </c>
    </row>
    <row r="83" spans="10:18" ht="18" customHeight="1">
      <c r="J83" s="313" t="s">
        <v>209</v>
      </c>
      <c r="K83" s="527">
        <f>+Sheet2!D119</f>
        <v>-9398</v>
      </c>
      <c r="L83" s="314"/>
      <c r="M83" s="314"/>
      <c r="N83" s="314"/>
      <c r="O83" s="554">
        <f t="shared" si="0"/>
        <v>0</v>
      </c>
      <c r="P83" s="555">
        <f t="shared" si="0"/>
        <v>242465</v>
      </c>
      <c r="Q83" s="556" t="str">
        <f t="shared" si="0"/>
        <v>07.03.2017</v>
      </c>
      <c r="R83" s="557">
        <f t="shared" si="0"/>
        <v>13594</v>
      </c>
    </row>
    <row r="84" spans="10:18" ht="18" customHeight="1">
      <c r="J84" s="316" t="s">
        <v>210</v>
      </c>
      <c r="K84" s="527"/>
      <c r="L84" s="314"/>
      <c r="M84" s="314"/>
      <c r="N84" s="314"/>
      <c r="O84" s="554"/>
      <c r="P84" s="555"/>
      <c r="Q84" s="556"/>
      <c r="R84" s="557"/>
    </row>
    <row r="85" spans="10:18" ht="18" customHeight="1" thickBot="1">
      <c r="J85" s="317" t="s">
        <v>3</v>
      </c>
      <c r="K85" s="525">
        <f>SUM(K72:K84)</f>
        <v>-9398</v>
      </c>
      <c r="L85" s="318"/>
      <c r="M85" s="318"/>
      <c r="N85" s="318"/>
      <c r="O85" s="558">
        <f>+O130</f>
        <v>0</v>
      </c>
      <c r="P85" s="559">
        <f>+P130</f>
        <v>0</v>
      </c>
      <c r="Q85" s="560">
        <f>+Q130</f>
        <v>0</v>
      </c>
      <c r="R85" s="561">
        <f>+R130</f>
        <v>0</v>
      </c>
    </row>
    <row r="86" spans="10:21" ht="15" customHeight="1">
      <c r="J86" s="2023" t="e">
        <f>"               I, "&amp;+P134&amp;" son  of  "&amp;+P135&amp;","&amp;"woking in the capacity of  AAO/ADM/O&amp;M/EGMORE/CEDC/CHENNAI/TNEB do hereby certify that a sum of Rs. "&amp;+K85&amp;"/="&amp;" ( "&amp;+U86&amp;")"&amp;" has been deducted at source and paid to the credit of the Central Government,  I further certify that the information given above is true and correct based on the books of account, documents and other available records."</f>
        <v>#NAME?</v>
      </c>
      <c r="K86" s="2024"/>
      <c r="L86" s="2024"/>
      <c r="M86" s="2024"/>
      <c r="N86" s="2024"/>
      <c r="O86" s="2024"/>
      <c r="P86" s="2024"/>
      <c r="Q86" s="2024"/>
      <c r="R86" s="2025"/>
      <c r="T86" s="1448">
        <f>+K85</f>
        <v>-9398</v>
      </c>
      <c r="U86" s="975" t="e">
        <f>[3]!NUM2TEXT(+T86)</f>
        <v>#NAME?</v>
      </c>
    </row>
    <row r="87" spans="10:18" ht="15.75" customHeight="1">
      <c r="J87" s="2026"/>
      <c r="K87" s="2027"/>
      <c r="L87" s="2027"/>
      <c r="M87" s="2027"/>
      <c r="N87" s="2027"/>
      <c r="O87" s="2027"/>
      <c r="P87" s="2027"/>
      <c r="Q87" s="2027"/>
      <c r="R87" s="2028"/>
    </row>
    <row r="88" spans="10:18" ht="15.75" customHeight="1">
      <c r="J88" s="2026"/>
      <c r="K88" s="2027"/>
      <c r="L88" s="2027"/>
      <c r="M88" s="2027"/>
      <c r="N88" s="2027"/>
      <c r="O88" s="2027"/>
      <c r="P88" s="2027"/>
      <c r="Q88" s="2027"/>
      <c r="R88" s="2028"/>
    </row>
    <row r="89" spans="10:18" ht="21" customHeight="1" thickBot="1">
      <c r="J89" s="2029"/>
      <c r="K89" s="2030"/>
      <c r="L89" s="2030"/>
      <c r="M89" s="2030"/>
      <c r="N89" s="2030"/>
      <c r="O89" s="2030"/>
      <c r="P89" s="2030"/>
      <c r="Q89" s="2030"/>
      <c r="R89" s="2031"/>
    </row>
    <row r="90" spans="10:18" ht="18" customHeight="1">
      <c r="J90" s="319"/>
      <c r="K90" s="320"/>
      <c r="L90" s="320"/>
      <c r="M90" s="320"/>
      <c r="N90" s="320"/>
      <c r="O90" s="320"/>
      <c r="P90" s="320"/>
      <c r="Q90" s="320"/>
      <c r="R90" s="321"/>
    </row>
    <row r="91" spans="10:18" ht="15" customHeight="1">
      <c r="J91" s="322"/>
      <c r="K91" s="285"/>
      <c r="L91" s="285"/>
      <c r="M91" s="285"/>
      <c r="N91" s="285"/>
      <c r="O91" s="2004" t="s">
        <v>213</v>
      </c>
      <c r="P91" s="2005"/>
      <c r="Q91" s="2005"/>
      <c r="R91" s="2006"/>
    </row>
    <row r="92" spans="10:18" ht="15" customHeight="1">
      <c r="J92" s="323" t="s">
        <v>214</v>
      </c>
      <c r="K92" s="293" t="s">
        <v>283</v>
      </c>
      <c r="L92" s="293"/>
      <c r="M92" s="294"/>
      <c r="N92" s="294"/>
      <c r="O92" s="548" t="str">
        <f>"Full Name  "&amp;+P134</f>
        <v>Full Name  </v>
      </c>
      <c r="P92" s="293"/>
      <c r="Q92" s="293"/>
      <c r="R92" s="268"/>
    </row>
    <row r="93" spans="10:18" ht="15" customHeight="1" thickBot="1">
      <c r="J93" s="324" t="s">
        <v>216</v>
      </c>
      <c r="K93" s="549">
        <f>+P131</f>
        <v>0</v>
      </c>
      <c r="L93" s="307"/>
      <c r="M93" s="277"/>
      <c r="N93" s="277"/>
      <c r="O93" s="549" t="s">
        <v>217</v>
      </c>
      <c r="P93" s="307"/>
      <c r="Q93" s="307"/>
      <c r="R93" s="279"/>
    </row>
    <row r="94" spans="10:18" ht="18" customHeight="1">
      <c r="J94" s="285"/>
      <c r="K94" s="285"/>
      <c r="L94" s="285"/>
      <c r="M94" s="285"/>
      <c r="N94" s="285"/>
      <c r="O94" s="285"/>
      <c r="P94" s="285"/>
      <c r="Q94" s="285"/>
      <c r="R94" s="285"/>
    </row>
    <row r="95" spans="15:18" ht="18" customHeight="1">
      <c r="O95" s="1990" t="s">
        <v>218</v>
      </c>
      <c r="P95" s="1990"/>
      <c r="Q95" s="1990"/>
      <c r="R95" s="522">
        <f>+'IT-STATEMENT-2021-2022 OLD'!V56</f>
        <v>-9398</v>
      </c>
    </row>
    <row r="96" spans="15:18" ht="18" customHeight="1" thickBot="1">
      <c r="O96" s="1990" t="s">
        <v>219</v>
      </c>
      <c r="P96" s="1990"/>
      <c r="Q96" s="1990"/>
      <c r="R96" s="523">
        <f>+K85</f>
        <v>-9398</v>
      </c>
    </row>
    <row r="97" ht="24.75" customHeight="1" thickBot="1" thickTop="1">
      <c r="R97" s="524">
        <f>+R95-R96</f>
        <v>0</v>
      </c>
    </row>
    <row r="98" ht="18" customHeight="1" thickTop="1"/>
    <row r="99" spans="10:18" ht="18" customHeight="1">
      <c r="J99" s="327"/>
      <c r="K99" s="328"/>
      <c r="L99" s="328"/>
      <c r="M99" s="328"/>
      <c r="N99" s="328"/>
      <c r="O99" s="328"/>
      <c r="P99" s="328"/>
      <c r="Q99" s="328"/>
      <c r="R99" s="328"/>
    </row>
    <row r="100" spans="10:18" ht="18" customHeight="1">
      <c r="J100" s="329"/>
      <c r="K100" s="285"/>
      <c r="L100" s="1986"/>
      <c r="M100" s="1987"/>
      <c r="N100" s="330"/>
      <c r="O100" s="331"/>
      <c r="P100" s="331"/>
      <c r="Q100" s="331"/>
      <c r="R100" s="331"/>
    </row>
    <row r="101" spans="10:18" ht="12.75" customHeight="1">
      <c r="J101" s="332"/>
      <c r="K101" s="332"/>
      <c r="L101" s="332"/>
      <c r="M101" s="332"/>
      <c r="N101" s="332"/>
      <c r="O101" s="332"/>
      <c r="P101" s="332"/>
      <c r="Q101" s="332"/>
      <c r="R101" s="332"/>
    </row>
    <row r="102" spans="10:18" s="363" customFormat="1" ht="18.75" customHeight="1" thickBot="1">
      <c r="J102" s="362"/>
      <c r="K102" s="362"/>
      <c r="L102" s="362"/>
      <c r="M102" s="362"/>
      <c r="N102" s="362"/>
      <c r="O102" s="362"/>
      <c r="P102" s="362"/>
      <c r="Q102" s="362"/>
      <c r="R102" s="362"/>
    </row>
    <row r="103" spans="10:19" ht="18" customHeight="1">
      <c r="J103" s="285"/>
      <c r="K103" s="285"/>
      <c r="L103" s="285"/>
      <c r="M103" s="285"/>
      <c r="N103" s="285"/>
      <c r="O103" s="319"/>
      <c r="P103" s="320"/>
      <c r="Q103" s="320"/>
      <c r="R103" s="320"/>
      <c r="S103" s="321"/>
    </row>
    <row r="104" spans="10:19" ht="18" customHeight="1" thickBot="1">
      <c r="J104" s="285"/>
      <c r="K104" s="285"/>
      <c r="L104" s="285"/>
      <c r="M104" s="285"/>
      <c r="N104" s="285"/>
      <c r="O104" s="322"/>
      <c r="P104" s="285"/>
      <c r="Q104" s="285"/>
      <c r="R104" s="285"/>
      <c r="S104" s="359"/>
    </row>
    <row r="105" spans="10:19" ht="18" customHeight="1" thickBot="1">
      <c r="J105" s="285"/>
      <c r="K105" s="285"/>
      <c r="L105" s="285"/>
      <c r="M105" s="285"/>
      <c r="N105" s="285"/>
      <c r="O105" s="2011" t="s">
        <v>109</v>
      </c>
      <c r="P105" s="2012"/>
      <c r="Q105" s="2012"/>
      <c r="R105" s="2012" t="s">
        <v>110</v>
      </c>
      <c r="S105" s="2013"/>
    </row>
    <row r="106" spans="10:19" ht="18" customHeight="1" thickBot="1">
      <c r="J106" s="332"/>
      <c r="K106" s="332"/>
      <c r="L106" s="332"/>
      <c r="M106" s="332"/>
      <c r="N106" s="332"/>
      <c r="O106" s="2038" t="s">
        <v>267</v>
      </c>
      <c r="P106" s="2039"/>
      <c r="Q106" s="2039"/>
      <c r="R106" s="2009" t="s">
        <v>396</v>
      </c>
      <c r="S106" s="2010"/>
    </row>
    <row r="107" spans="15:19" ht="18" customHeight="1">
      <c r="O107" s="2040" t="s">
        <v>112</v>
      </c>
      <c r="P107" s="2041"/>
      <c r="Q107" s="2041"/>
      <c r="R107" s="2041"/>
      <c r="S107" s="2042"/>
    </row>
    <row r="108" spans="15:19" ht="18" customHeight="1">
      <c r="O108" s="2043"/>
      <c r="P108" s="2044"/>
      <c r="Q108" s="2044"/>
      <c r="R108" s="2044"/>
      <c r="S108" s="2045"/>
    </row>
    <row r="109" spans="15:19" ht="18" customHeight="1">
      <c r="O109" s="2043"/>
      <c r="P109" s="2044"/>
      <c r="Q109" s="2044"/>
      <c r="R109" s="2044"/>
      <c r="S109" s="2045"/>
    </row>
    <row r="110" spans="15:19" ht="18" customHeight="1" thickBot="1">
      <c r="O110" s="2046"/>
      <c r="P110" s="2047"/>
      <c r="Q110" s="2047"/>
      <c r="R110" s="2047"/>
      <c r="S110" s="2048"/>
    </row>
    <row r="111" spans="15:19" ht="18" customHeight="1" thickBot="1">
      <c r="O111" s="2007" t="s">
        <v>115</v>
      </c>
      <c r="P111" s="2008"/>
      <c r="Q111" s="2008"/>
      <c r="R111" s="2008" t="s">
        <v>116</v>
      </c>
      <c r="S111" s="2049"/>
    </row>
    <row r="112" spans="15:19" ht="18" customHeight="1">
      <c r="O112" s="246" t="s">
        <v>119</v>
      </c>
      <c r="P112" s="2000"/>
      <c r="Q112" s="2000"/>
      <c r="R112" s="2001"/>
      <c r="S112" s="2002"/>
    </row>
    <row r="113" spans="15:19" ht="18" customHeight="1">
      <c r="O113" s="247" t="s">
        <v>120</v>
      </c>
      <c r="P113" s="1997"/>
      <c r="Q113" s="1997"/>
      <c r="R113" s="1998"/>
      <c r="S113" s="1999"/>
    </row>
    <row r="114" spans="10:19" ht="18" customHeight="1">
      <c r="J114" s="333"/>
      <c r="O114" s="247" t="s">
        <v>121</v>
      </c>
      <c r="P114" s="1997"/>
      <c r="Q114" s="1997"/>
      <c r="R114" s="1998"/>
      <c r="S114" s="1999"/>
    </row>
    <row r="115" spans="10:19" ht="18" customHeight="1" thickBot="1">
      <c r="J115" s="333"/>
      <c r="M115" s="334"/>
      <c r="O115" s="248" t="s">
        <v>122</v>
      </c>
      <c r="P115" s="1994"/>
      <c r="Q115" s="1994"/>
      <c r="R115" s="1995"/>
      <c r="S115" s="1996"/>
    </row>
    <row r="116" spans="10:26" ht="78.75" customHeight="1">
      <c r="J116" s="335"/>
      <c r="K116" s="331"/>
      <c r="L116" s="331"/>
      <c r="M116" s="346" t="s">
        <v>189</v>
      </c>
      <c r="N116" s="346" t="s">
        <v>269</v>
      </c>
      <c r="O116" s="346" t="s">
        <v>220</v>
      </c>
      <c r="P116" s="347" t="s">
        <v>195</v>
      </c>
      <c r="Q116" s="347" t="s">
        <v>196</v>
      </c>
      <c r="R116" s="348" t="s">
        <v>197</v>
      </c>
      <c r="S116" s="359"/>
      <c r="T116" s="285"/>
      <c r="U116" s="285"/>
      <c r="V116" s="285"/>
      <c r="W116" s="285"/>
      <c r="X116" s="285"/>
      <c r="Y116" s="285"/>
      <c r="Z116" s="285"/>
    </row>
    <row r="117" spans="10:26" ht="18" customHeight="1">
      <c r="J117" s="285"/>
      <c r="K117" s="285"/>
      <c r="L117" s="285"/>
      <c r="M117" s="349">
        <v>3</v>
      </c>
      <c r="N117" s="349">
        <f>+'IT-STATEMENT-2021-2022 OLD'!V8</f>
        <v>0</v>
      </c>
      <c r="O117" s="349">
        <v>49000</v>
      </c>
      <c r="P117" s="337">
        <v>0</v>
      </c>
      <c r="Q117" s="570"/>
      <c r="R117" s="339">
        <v>0</v>
      </c>
      <c r="S117" s="359"/>
      <c r="T117" s="285"/>
      <c r="U117" s="285"/>
      <c r="V117" s="285"/>
      <c r="W117" s="285"/>
      <c r="X117" s="285"/>
      <c r="Y117" s="285"/>
      <c r="Z117" s="285"/>
    </row>
    <row r="118" spans="10:26" ht="18" customHeight="1">
      <c r="J118" s="285"/>
      <c r="K118" s="285"/>
      <c r="L118" s="285"/>
      <c r="M118" s="336">
        <f>+M117+1</f>
        <v>4</v>
      </c>
      <c r="N118" s="349">
        <f>+'IT-STATEMENT-2021-2022 OLD'!V9</f>
        <v>0</v>
      </c>
      <c r="O118" s="336">
        <v>129500</v>
      </c>
      <c r="P118" s="337">
        <v>242465</v>
      </c>
      <c r="Q118" s="583" t="s">
        <v>291</v>
      </c>
      <c r="R118" s="339">
        <v>3915</v>
      </c>
      <c r="S118" s="359"/>
      <c r="T118" s="285"/>
      <c r="U118" s="285"/>
      <c r="V118" s="285"/>
      <c r="W118" s="285"/>
      <c r="X118" s="285"/>
      <c r="Y118" s="285"/>
      <c r="Z118" s="285"/>
    </row>
    <row r="119" spans="10:26" ht="18" customHeight="1">
      <c r="J119" s="285"/>
      <c r="K119" s="285"/>
      <c r="L119" s="285"/>
      <c r="M119" s="336">
        <f aca="true" t="shared" si="1" ref="M119:M128">+M118+1</f>
        <v>5</v>
      </c>
      <c r="N119" s="349">
        <f>+'IT-STATEMENT-2021-2022 OLD'!V10</f>
        <v>0</v>
      </c>
      <c r="O119" s="336">
        <v>146500</v>
      </c>
      <c r="P119" s="337">
        <v>242465</v>
      </c>
      <c r="Q119" s="583" t="s">
        <v>292</v>
      </c>
      <c r="R119" s="339">
        <v>2472</v>
      </c>
      <c r="S119" s="359"/>
      <c r="T119" s="285"/>
      <c r="U119" s="285"/>
      <c r="V119" s="285"/>
      <c r="W119" s="285"/>
      <c r="X119" s="285"/>
      <c r="Y119" s="285"/>
      <c r="Z119" s="285"/>
    </row>
    <row r="120" spans="10:26" ht="18" customHeight="1">
      <c r="J120" s="285"/>
      <c r="K120" s="285"/>
      <c r="L120" s="285"/>
      <c r="M120" s="336">
        <f t="shared" si="1"/>
        <v>6</v>
      </c>
      <c r="N120" s="349">
        <f>+'IT-STATEMENT-2021-2022 OLD'!V11</f>
        <v>0</v>
      </c>
      <c r="O120" s="336">
        <v>182000</v>
      </c>
      <c r="P120" s="337">
        <v>242465</v>
      </c>
      <c r="Q120" s="583" t="s">
        <v>293</v>
      </c>
      <c r="R120" s="339">
        <v>432</v>
      </c>
      <c r="S120" s="359"/>
      <c r="T120" s="285"/>
      <c r="U120" s="285"/>
      <c r="V120" s="285"/>
      <c r="W120" s="285"/>
      <c r="X120" s="285"/>
      <c r="Y120" s="285"/>
      <c r="Z120" s="285"/>
    </row>
    <row r="121" spans="10:26" ht="18" customHeight="1">
      <c r="J121" s="285"/>
      <c r="K121" s="285"/>
      <c r="L121" s="285"/>
      <c r="M121" s="336">
        <f t="shared" si="1"/>
        <v>7</v>
      </c>
      <c r="N121" s="349">
        <f>+'IT-STATEMENT-2021-2022 OLD'!V12</f>
        <v>0</v>
      </c>
      <c r="O121" s="336">
        <v>206000</v>
      </c>
      <c r="P121" s="337">
        <v>242465</v>
      </c>
      <c r="Q121" s="583" t="s">
        <v>294</v>
      </c>
      <c r="R121" s="339">
        <v>1060</v>
      </c>
      <c r="S121" s="359"/>
      <c r="T121" s="285"/>
      <c r="U121" s="285"/>
      <c r="V121" s="285"/>
      <c r="W121" s="285"/>
      <c r="X121" s="285"/>
      <c r="Y121" s="285"/>
      <c r="Z121" s="285"/>
    </row>
    <row r="122" spans="10:26" ht="18" customHeight="1">
      <c r="J122" s="285"/>
      <c r="K122" s="285"/>
      <c r="L122" s="285"/>
      <c r="M122" s="336">
        <f t="shared" si="1"/>
        <v>8</v>
      </c>
      <c r="N122" s="349">
        <f>+'IT-STATEMENT-2021-2022 OLD'!V13</f>
        <v>0</v>
      </c>
      <c r="O122" s="336">
        <v>268375</v>
      </c>
      <c r="P122" s="337">
        <v>242465</v>
      </c>
      <c r="Q122" s="583" t="s">
        <v>295</v>
      </c>
      <c r="R122" s="339">
        <v>6594</v>
      </c>
      <c r="S122" s="359"/>
      <c r="T122" s="285"/>
      <c r="U122" s="285"/>
      <c r="V122" s="285"/>
      <c r="W122" s="285"/>
      <c r="X122" s="285"/>
      <c r="Y122" s="285"/>
      <c r="Z122" s="285"/>
    </row>
    <row r="123" spans="10:26" ht="18" customHeight="1">
      <c r="J123" s="285"/>
      <c r="K123" s="285"/>
      <c r="L123" s="285"/>
      <c r="M123" s="336">
        <f t="shared" si="1"/>
        <v>9</v>
      </c>
      <c r="N123" s="349">
        <f>+'IT-STATEMENT-2021-2022 OLD'!V14</f>
        <v>0</v>
      </c>
      <c r="O123" s="336">
        <v>263500</v>
      </c>
      <c r="P123" s="337">
        <v>242465</v>
      </c>
      <c r="Q123" s="583" t="s">
        <v>296</v>
      </c>
      <c r="R123" s="339">
        <v>5223</v>
      </c>
      <c r="S123" s="359"/>
      <c r="T123" s="285"/>
      <c r="U123" s="285"/>
      <c r="V123" s="285"/>
      <c r="W123" s="285"/>
      <c r="X123" s="285"/>
      <c r="Y123" s="285"/>
      <c r="Z123" s="285"/>
    </row>
    <row r="124" spans="10:26" ht="18" customHeight="1">
      <c r="J124" s="285"/>
      <c r="K124" s="285"/>
      <c r="L124" s="285"/>
      <c r="M124" s="336">
        <f t="shared" si="1"/>
        <v>10</v>
      </c>
      <c r="N124" s="349">
        <f>+'IT-STATEMENT-2021-2022 OLD'!V15</f>
        <v>0</v>
      </c>
      <c r="O124" s="336"/>
      <c r="P124" s="337">
        <v>242465</v>
      </c>
      <c r="Q124" s="583" t="s">
        <v>297</v>
      </c>
      <c r="R124" s="339">
        <v>9415</v>
      </c>
      <c r="S124" s="359"/>
      <c r="T124" s="285"/>
      <c r="U124" s="285"/>
      <c r="V124" s="285"/>
      <c r="W124" s="285"/>
      <c r="X124" s="285"/>
      <c r="Y124" s="285"/>
      <c r="Z124" s="285"/>
    </row>
    <row r="125" spans="10:26" ht="18" customHeight="1">
      <c r="J125" s="285"/>
      <c r="K125" s="285"/>
      <c r="L125" s="285"/>
      <c r="M125" s="336">
        <f t="shared" si="1"/>
        <v>11</v>
      </c>
      <c r="N125" s="349">
        <f>+'IT-STATEMENT-2021-2022 OLD'!V16</f>
        <v>0</v>
      </c>
      <c r="O125" s="340"/>
      <c r="P125" s="337">
        <v>242465</v>
      </c>
      <c r="Q125" s="583" t="s">
        <v>298</v>
      </c>
      <c r="R125" s="339">
        <v>9037</v>
      </c>
      <c r="S125" s="359"/>
      <c r="T125" s="285"/>
      <c r="U125" s="285"/>
      <c r="V125" s="285"/>
      <c r="W125" s="285"/>
      <c r="X125" s="285"/>
      <c r="Y125" s="285"/>
      <c r="Z125" s="285"/>
    </row>
    <row r="126" spans="10:26" ht="18" customHeight="1">
      <c r="J126" s="285"/>
      <c r="K126" s="285"/>
      <c r="L126" s="285"/>
      <c r="M126" s="336">
        <f t="shared" si="1"/>
        <v>12</v>
      </c>
      <c r="N126" s="349">
        <f>+'IT-STATEMENT-2021-2022 OLD'!V17</f>
        <v>0</v>
      </c>
      <c r="O126" s="340"/>
      <c r="P126" s="337">
        <v>242465</v>
      </c>
      <c r="Q126" s="583" t="s">
        <v>299</v>
      </c>
      <c r="R126" s="339">
        <v>3167</v>
      </c>
      <c r="S126" s="359"/>
      <c r="T126" s="285"/>
      <c r="U126" s="285"/>
      <c r="V126" s="285"/>
      <c r="W126" s="285"/>
      <c r="X126" s="285"/>
      <c r="Y126" s="285"/>
      <c r="Z126" s="285"/>
    </row>
    <row r="127" spans="10:26" ht="18" customHeight="1">
      <c r="J127" s="285"/>
      <c r="K127" s="285"/>
      <c r="L127" s="285"/>
      <c r="M127" s="336">
        <v>1</v>
      </c>
      <c r="N127" s="349">
        <f>+'IT-STATEMENT-2021-2022 OLD'!V18</f>
        <v>0</v>
      </c>
      <c r="O127" s="340"/>
      <c r="P127" s="337">
        <v>242465</v>
      </c>
      <c r="Q127" s="583" t="s">
        <v>300</v>
      </c>
      <c r="R127" s="339">
        <v>5389</v>
      </c>
      <c r="S127" s="359"/>
      <c r="T127" s="285"/>
      <c r="U127" s="285"/>
      <c r="V127" s="285"/>
      <c r="W127" s="285"/>
      <c r="X127" s="285"/>
      <c r="Y127" s="285"/>
      <c r="Z127" s="285"/>
    </row>
    <row r="128" spans="10:26" ht="18" customHeight="1">
      <c r="J128" s="285"/>
      <c r="K128" s="285"/>
      <c r="L128" s="285"/>
      <c r="M128" s="336">
        <f t="shared" si="1"/>
        <v>2</v>
      </c>
      <c r="N128" s="349">
        <f>+'IT-STATEMENT-2021-2022 OLD'!V19</f>
        <v>-9398</v>
      </c>
      <c r="O128" s="340"/>
      <c r="P128" s="337">
        <v>242465</v>
      </c>
      <c r="Q128" s="583" t="s">
        <v>301</v>
      </c>
      <c r="R128" s="339">
        <v>13594</v>
      </c>
      <c r="S128" s="359"/>
      <c r="T128" s="285"/>
      <c r="U128" s="285"/>
      <c r="V128" s="285"/>
      <c r="W128" s="285"/>
      <c r="X128" s="285"/>
      <c r="Y128" s="285"/>
      <c r="Z128" s="285"/>
    </row>
    <row r="129" spans="10:26" ht="18" customHeight="1">
      <c r="J129" s="285"/>
      <c r="K129" s="285"/>
      <c r="L129" s="285"/>
      <c r="M129" s="285"/>
      <c r="N129" s="285"/>
      <c r="O129" s="336"/>
      <c r="P129" s="341"/>
      <c r="Q129" s="338"/>
      <c r="R129" s="339"/>
      <c r="S129" s="359"/>
      <c r="T129" s="285"/>
      <c r="U129" s="285"/>
      <c r="V129" s="285"/>
      <c r="W129" s="285"/>
      <c r="X129" s="285"/>
      <c r="Y129" s="285"/>
      <c r="Z129" s="285"/>
    </row>
    <row r="130" spans="10:26" ht="18" customHeight="1">
      <c r="J130" s="285"/>
      <c r="K130" s="285"/>
      <c r="L130" s="285"/>
      <c r="M130" s="285"/>
      <c r="N130" s="285"/>
      <c r="O130" s="336"/>
      <c r="P130" s="341"/>
      <c r="Q130" s="338"/>
      <c r="R130" s="339"/>
      <c r="S130" s="359"/>
      <c r="T130" s="285"/>
      <c r="U130" s="285"/>
      <c r="V130" s="285"/>
      <c r="W130" s="285"/>
      <c r="X130" s="285"/>
      <c r="Y130" s="285"/>
      <c r="Z130" s="285"/>
    </row>
    <row r="131" spans="10:26" ht="18" customHeight="1" thickBot="1">
      <c r="J131" s="285"/>
      <c r="K131" s="285"/>
      <c r="L131" s="285"/>
      <c r="M131" s="285"/>
      <c r="N131" s="285"/>
      <c r="O131" s="350" t="s">
        <v>216</v>
      </c>
      <c r="P131" s="578"/>
      <c r="Q131" s="342"/>
      <c r="R131" s="351"/>
      <c r="S131" s="359"/>
      <c r="T131" s="285"/>
      <c r="U131" s="285"/>
      <c r="V131" s="285"/>
      <c r="W131" s="285"/>
      <c r="X131" s="285"/>
      <c r="Y131" s="285"/>
      <c r="Z131" s="285"/>
    </row>
    <row r="132" spans="15:26" ht="18" customHeight="1">
      <c r="O132" s="352" t="s">
        <v>290</v>
      </c>
      <c r="P132" s="366"/>
      <c r="Q132" s="343"/>
      <c r="R132" s="353"/>
      <c r="S132" s="360"/>
      <c r="T132" s="365"/>
      <c r="U132" s="285"/>
      <c r="V132" s="285"/>
      <c r="W132" s="285"/>
      <c r="X132" s="285"/>
      <c r="Y132" s="285"/>
      <c r="Z132" s="285"/>
    </row>
    <row r="133" spans="15:26" ht="18" customHeight="1">
      <c r="O133" s="340"/>
      <c r="P133" s="342"/>
      <c r="Q133" s="342"/>
      <c r="R133" s="351"/>
      <c r="S133" s="359"/>
      <c r="T133" s="285"/>
      <c r="U133" s="285"/>
      <c r="V133" s="285"/>
      <c r="W133" s="285"/>
      <c r="X133" s="285"/>
      <c r="Y133" s="285"/>
      <c r="Z133" s="285"/>
    </row>
    <row r="134" spans="15:19" ht="18" customHeight="1">
      <c r="O134" s="354" t="s">
        <v>211</v>
      </c>
      <c r="P134" s="344"/>
      <c r="Q134" s="342"/>
      <c r="R134" s="351"/>
      <c r="S134" s="359"/>
    </row>
    <row r="135" spans="15:19" ht="18" customHeight="1" thickBot="1">
      <c r="O135" s="355" t="s">
        <v>212</v>
      </c>
      <c r="P135" s="356"/>
      <c r="Q135" s="357"/>
      <c r="R135" s="358"/>
      <c r="S135" s="361"/>
    </row>
    <row r="136" s="364" customFormat="1" ht="18" customHeight="1"/>
  </sheetData>
  <sheetProtection/>
  <mergeCells count="135">
    <mergeCell ref="F4:I4"/>
    <mergeCell ref="A5:E5"/>
    <mergeCell ref="A1:D1"/>
    <mergeCell ref="E1:I1"/>
    <mergeCell ref="A2:E2"/>
    <mergeCell ref="F2:I2"/>
    <mergeCell ref="A3:E3"/>
    <mergeCell ref="F3:I3"/>
    <mergeCell ref="A4:E4"/>
    <mergeCell ref="F5:I5"/>
    <mergeCell ref="D6:E6"/>
    <mergeCell ref="F6:I6"/>
    <mergeCell ref="C29:E29"/>
    <mergeCell ref="G29:H29"/>
    <mergeCell ref="A8:E11"/>
    <mergeCell ref="F8:G8"/>
    <mergeCell ref="H8:I8"/>
    <mergeCell ref="F9:G9"/>
    <mergeCell ref="H9:I11"/>
    <mergeCell ref="F10:G11"/>
    <mergeCell ref="A7:C7"/>
    <mergeCell ref="D7:E7"/>
    <mergeCell ref="A12:C12"/>
    <mergeCell ref="D12:E12"/>
    <mergeCell ref="F12:G12"/>
    <mergeCell ref="H12:I12"/>
    <mergeCell ref="F7:I7"/>
    <mergeCell ref="A6:C6"/>
    <mergeCell ref="B13:C13"/>
    <mergeCell ref="D13:E13"/>
    <mergeCell ref="F13:G13"/>
    <mergeCell ref="H13:I13"/>
    <mergeCell ref="C19:E19"/>
    <mergeCell ref="G19:H19"/>
    <mergeCell ref="B14:C14"/>
    <mergeCell ref="D14:E14"/>
    <mergeCell ref="F14:G14"/>
    <mergeCell ref="H14:I14"/>
    <mergeCell ref="B15:C15"/>
    <mergeCell ref="D15:E15"/>
    <mergeCell ref="F15:G15"/>
    <mergeCell ref="H15:I15"/>
    <mergeCell ref="B23:E23"/>
    <mergeCell ref="G23:H23"/>
    <mergeCell ref="B16:C16"/>
    <mergeCell ref="D16:E16"/>
    <mergeCell ref="F16:G16"/>
    <mergeCell ref="H16:I16"/>
    <mergeCell ref="A17:I17"/>
    <mergeCell ref="A18:A22"/>
    <mergeCell ref="B18:E18"/>
    <mergeCell ref="G18:H18"/>
    <mergeCell ref="C20:E20"/>
    <mergeCell ref="G20:H20"/>
    <mergeCell ref="C21:E21"/>
    <mergeCell ref="G21:H21"/>
    <mergeCell ref="C22:E22"/>
    <mergeCell ref="G22:H22"/>
    <mergeCell ref="B24:E24"/>
    <mergeCell ref="G24:H24"/>
    <mergeCell ref="B25:E25"/>
    <mergeCell ref="G25:H25"/>
    <mergeCell ref="C28:E28"/>
    <mergeCell ref="G28:H28"/>
    <mergeCell ref="C26:E26"/>
    <mergeCell ref="C27:E27"/>
    <mergeCell ref="G27:H27"/>
    <mergeCell ref="B31:E31"/>
    <mergeCell ref="G31:H31"/>
    <mergeCell ref="B30:E30"/>
    <mergeCell ref="G30:H30"/>
    <mergeCell ref="D38:F38"/>
    <mergeCell ref="G38:H38"/>
    <mergeCell ref="D37:F37"/>
    <mergeCell ref="G37:H37"/>
    <mergeCell ref="A34:A45"/>
    <mergeCell ref="B34:F34"/>
    <mergeCell ref="G34:H35"/>
    <mergeCell ref="G40:H40"/>
    <mergeCell ref="D41:F41"/>
    <mergeCell ref="G41:H41"/>
    <mergeCell ref="I34:I35"/>
    <mergeCell ref="C35:F35"/>
    <mergeCell ref="D36:F36"/>
    <mergeCell ref="G36:H36"/>
    <mergeCell ref="B32:E32"/>
    <mergeCell ref="G32:H32"/>
    <mergeCell ref="G33:H33"/>
    <mergeCell ref="G46:H46"/>
    <mergeCell ref="G47:H47"/>
    <mergeCell ref="A48:I48"/>
    <mergeCell ref="G39:H39"/>
    <mergeCell ref="G42:H42"/>
    <mergeCell ref="D43:F43"/>
    <mergeCell ref="D42:F42"/>
    <mergeCell ref="D40:F40"/>
    <mergeCell ref="G43:H43"/>
    <mergeCell ref="D39:F39"/>
    <mergeCell ref="O106:Q106"/>
    <mergeCell ref="O107:S110"/>
    <mergeCell ref="R111:S111"/>
    <mergeCell ref="D44:F44"/>
    <mergeCell ref="G44:H44"/>
    <mergeCell ref="L51:O51"/>
    <mergeCell ref="L52:O52"/>
    <mergeCell ref="L53:O53"/>
    <mergeCell ref="D45:F45"/>
    <mergeCell ref="G45:H45"/>
    <mergeCell ref="J69:R69"/>
    <mergeCell ref="J70:R70"/>
    <mergeCell ref="J86:R89"/>
    <mergeCell ref="R60:R61"/>
    <mergeCell ref="P49:P50"/>
    <mergeCell ref="Q49:Q50"/>
    <mergeCell ref="R49:R50"/>
    <mergeCell ref="O26:S26"/>
    <mergeCell ref="P113:Q113"/>
    <mergeCell ref="R113:S113"/>
    <mergeCell ref="O91:R91"/>
    <mergeCell ref="O111:Q111"/>
    <mergeCell ref="R106:S106"/>
    <mergeCell ref="O96:Q96"/>
    <mergeCell ref="O105:Q105"/>
    <mergeCell ref="R105:S105"/>
    <mergeCell ref="L55:O55"/>
    <mergeCell ref="L100:M100"/>
    <mergeCell ref="L54:O54"/>
    <mergeCell ref="O95:Q95"/>
    <mergeCell ref="R66:R68"/>
    <mergeCell ref="P115:Q115"/>
    <mergeCell ref="R115:S115"/>
    <mergeCell ref="P114:Q114"/>
    <mergeCell ref="R114:S114"/>
    <mergeCell ref="P112:Q112"/>
    <mergeCell ref="R112:S112"/>
  </mergeCells>
  <printOptions/>
  <pageMargins left="0.5118110236220472" right="0.2362204724409449" top="0.2362204724409449" bottom="0.2362204724409449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2"/>
  <sheetViews>
    <sheetView zoomScalePageLayoutView="0" workbookViewId="0" topLeftCell="A7">
      <selection activeCell="F13" sqref="F13:G13"/>
    </sheetView>
  </sheetViews>
  <sheetFormatPr defaultColWidth="9.140625" defaultRowHeight="12.75"/>
  <cols>
    <col min="1" max="1" width="9.7109375" style="245" customWidth="1"/>
    <col min="2" max="2" width="7.8515625" style="245" customWidth="1"/>
    <col min="3" max="3" width="6.8515625" style="245" customWidth="1"/>
    <col min="4" max="4" width="16.7109375" style="245" customWidth="1"/>
    <col min="5" max="5" width="13.57421875" style="245" customWidth="1"/>
    <col min="6" max="6" width="14.7109375" style="245" customWidth="1"/>
    <col min="7" max="8" width="7.7109375" style="245" customWidth="1"/>
    <col min="9" max="9" width="24.7109375" style="245" customWidth="1"/>
    <col min="10" max="10" width="6.00390625" style="245" customWidth="1"/>
    <col min="11" max="13" width="9.140625" style="245" customWidth="1"/>
    <col min="14" max="14" width="10.7109375" style="245" customWidth="1"/>
    <col min="15" max="15" width="13.7109375" style="245" customWidth="1"/>
    <col min="16" max="17" width="10.7109375" style="245" customWidth="1"/>
    <col min="18" max="18" width="16.7109375" style="245" customWidth="1"/>
    <col min="19" max="19" width="9.140625" style="245" customWidth="1"/>
    <col min="20" max="20" width="23.00390625" style="245" customWidth="1"/>
    <col min="21" max="16384" width="9.140625" style="245" customWidth="1"/>
  </cols>
  <sheetData>
    <row r="1" spans="1:9" ht="49.5" customHeight="1" thickBot="1">
      <c r="A1" s="2143" t="s">
        <v>103</v>
      </c>
      <c r="B1" s="2144"/>
      <c r="C1" s="2144"/>
      <c r="D1" s="2144"/>
      <c r="E1" s="2145" t="s">
        <v>104</v>
      </c>
      <c r="F1" s="2146"/>
      <c r="G1" s="2146"/>
      <c r="H1" s="2146"/>
      <c r="I1" s="2147"/>
    </row>
    <row r="2" spans="1:9" ht="18" customHeight="1" thickBot="1">
      <c r="A2" s="2007" t="s">
        <v>105</v>
      </c>
      <c r="B2" s="2008"/>
      <c r="C2" s="2008"/>
      <c r="D2" s="2008"/>
      <c r="E2" s="2008"/>
      <c r="F2" s="2148" t="s">
        <v>106</v>
      </c>
      <c r="G2" s="2149"/>
      <c r="H2" s="2149"/>
      <c r="I2" s="2150"/>
    </row>
    <row r="3" spans="1:9" ht="18" customHeight="1" thickBot="1">
      <c r="A3" s="2140">
        <f>+P89</f>
        <v>0</v>
      </c>
      <c r="B3" s="2141"/>
      <c r="C3" s="2141"/>
      <c r="D3" s="2141"/>
      <c r="E3" s="2142"/>
      <c r="F3" s="2137" t="str">
        <f>+'FORM 16 -2021-2022'!F3:I3</f>
        <v>S.BALAJI</v>
      </c>
      <c r="G3" s="2138"/>
      <c r="H3" s="2138"/>
      <c r="I3" s="2139"/>
    </row>
    <row r="4" spans="1:9" ht="18" customHeight="1" thickBot="1">
      <c r="A4" s="2140" t="s">
        <v>107</v>
      </c>
      <c r="B4" s="2141"/>
      <c r="C4" s="2141"/>
      <c r="D4" s="2141"/>
      <c r="E4" s="2142"/>
      <c r="F4" s="2137" t="str">
        <f>+'FORM 16 -2021-2022'!F4:I4</f>
        <v>JE-II</v>
      </c>
      <c r="G4" s="2138"/>
      <c r="H4" s="2138"/>
      <c r="I4" s="2139"/>
    </row>
    <row r="5" spans="1:9" ht="18" customHeight="1" thickBot="1">
      <c r="A5" s="2140" t="s">
        <v>108</v>
      </c>
      <c r="B5" s="2141"/>
      <c r="C5" s="2141"/>
      <c r="D5" s="2141"/>
      <c r="E5" s="2142"/>
      <c r="F5" s="2137" t="str">
        <f>+'FORM 16 -2021-2022'!F5:I5</f>
        <v>110KV NANDANAM SS</v>
      </c>
      <c r="G5" s="2138"/>
      <c r="H5" s="2138"/>
      <c r="I5" s="2139"/>
    </row>
    <row r="6" spans="1:9" ht="24" customHeight="1" thickBot="1">
      <c r="A6" s="2011" t="s">
        <v>109</v>
      </c>
      <c r="B6" s="2012"/>
      <c r="C6" s="2012"/>
      <c r="D6" s="2012" t="s">
        <v>110</v>
      </c>
      <c r="E6" s="2012"/>
      <c r="F6" s="2012" t="s">
        <v>111</v>
      </c>
      <c r="G6" s="2012"/>
      <c r="H6" s="2012"/>
      <c r="I6" s="2013"/>
    </row>
    <row r="7" spans="1:9" ht="18" customHeight="1" thickBot="1">
      <c r="A7" s="2120" t="str">
        <f>+O63</f>
        <v>AADCT4784E</v>
      </c>
      <c r="B7" s="2121"/>
      <c r="C7" s="2121"/>
      <c r="D7" s="2122" t="str">
        <f>+R63</f>
        <v>CHET11942A</v>
      </c>
      <c r="E7" s="2122"/>
      <c r="F7" s="2123" t="str">
        <f>+'FORM 16 -2021-2022'!F7:I7</f>
        <v>ABCDE1234Z</v>
      </c>
      <c r="G7" s="2123"/>
      <c r="H7" s="2123"/>
      <c r="I7" s="2124"/>
    </row>
    <row r="8" spans="1:9" ht="13.5" customHeight="1">
      <c r="A8" s="2040" t="s">
        <v>112</v>
      </c>
      <c r="B8" s="2041"/>
      <c r="C8" s="2041"/>
      <c r="D8" s="2041"/>
      <c r="E8" s="2042"/>
      <c r="F8" s="2127" t="s">
        <v>113</v>
      </c>
      <c r="G8" s="2128"/>
      <c r="H8" s="2128" t="s">
        <v>114</v>
      </c>
      <c r="I8" s="2129"/>
    </row>
    <row r="9" spans="1:9" ht="13.5" customHeight="1">
      <c r="A9" s="2043"/>
      <c r="B9" s="2044"/>
      <c r="C9" s="2044"/>
      <c r="D9" s="2044"/>
      <c r="E9" s="2045"/>
      <c r="F9" s="2130" t="str">
        <f>+'FORM 16 -2021-2022'!F9:G9</f>
        <v>2021-2022</v>
      </c>
      <c r="G9" s="2131"/>
      <c r="H9" s="2131" t="str">
        <f>+'FORM 16 -2021-2022'!H9:I11</f>
        <v>2022-2023</v>
      </c>
      <c r="I9" s="2132"/>
    </row>
    <row r="10" spans="1:9" ht="6.75" customHeight="1">
      <c r="A10" s="2043"/>
      <c r="B10" s="2044"/>
      <c r="C10" s="2044"/>
      <c r="D10" s="2044"/>
      <c r="E10" s="2045"/>
      <c r="F10" s="2190" t="str">
        <f>+'FORM 16 -2021-2022'!F10:G11</f>
        <v>(01.04.2021 to 31.03.2022)</v>
      </c>
      <c r="G10" s="2191"/>
      <c r="H10" s="2131"/>
      <c r="I10" s="2132"/>
    </row>
    <row r="11" spans="1:9" ht="6.75" customHeight="1" thickBot="1">
      <c r="A11" s="2046"/>
      <c r="B11" s="2047"/>
      <c r="C11" s="2047"/>
      <c r="D11" s="2047"/>
      <c r="E11" s="2048"/>
      <c r="F11" s="2079"/>
      <c r="G11" s="2192"/>
      <c r="H11" s="2133"/>
      <c r="I11" s="2134"/>
    </row>
    <row r="12" spans="1:9" ht="13.5" customHeight="1" thickBot="1">
      <c r="A12" s="2007" t="s">
        <v>115</v>
      </c>
      <c r="B12" s="2008"/>
      <c r="C12" s="2008"/>
      <c r="D12" s="2008" t="s">
        <v>116</v>
      </c>
      <c r="E12" s="2008"/>
      <c r="F12" s="2008" t="s">
        <v>117</v>
      </c>
      <c r="G12" s="2008"/>
      <c r="H12" s="2008" t="s">
        <v>118</v>
      </c>
      <c r="I12" s="2049"/>
    </row>
    <row r="13" spans="1:9" ht="13.5" customHeight="1" thickBot="1">
      <c r="A13" s="246" t="s">
        <v>119</v>
      </c>
      <c r="B13" s="2114">
        <f>+'FORM 16 -2021-2022'!B13:C13</f>
        <v>0</v>
      </c>
      <c r="C13" s="2114"/>
      <c r="D13" s="2115">
        <f>+'FORM 16 -2021-2022'!D13:E13</f>
        <v>0</v>
      </c>
      <c r="E13" s="2116"/>
      <c r="F13" s="2187" t="str">
        <f>+'FORM 16 -2021-2022'!F13:G18</f>
        <v>04/2021</v>
      </c>
      <c r="G13" s="2188"/>
      <c r="H13" s="2187" t="str">
        <f>+'FORM 16 -2021-2022'!H13:I13</f>
        <v>06/2021</v>
      </c>
      <c r="I13" s="2189"/>
    </row>
    <row r="14" spans="1:9" ht="13.5" customHeight="1" thickBot="1">
      <c r="A14" s="247" t="s">
        <v>120</v>
      </c>
      <c r="B14" s="2114">
        <f>+'FORM 16 -2021-2022'!B14:C14</f>
        <v>0</v>
      </c>
      <c r="C14" s="2114"/>
      <c r="D14" s="2115">
        <f>+'FORM 16 -2021-2022'!D14:E14</f>
        <v>0</v>
      </c>
      <c r="E14" s="2116"/>
      <c r="F14" s="2187" t="str">
        <f>+'FORM 16 -2021-2022'!F14:G14</f>
        <v>07/2021</v>
      </c>
      <c r="G14" s="2188"/>
      <c r="H14" s="2187" t="str">
        <f>+'FORM 16 -2021-2022'!H14:I14</f>
        <v>09/2021</v>
      </c>
      <c r="I14" s="2189"/>
    </row>
    <row r="15" spans="1:9" ht="13.5" customHeight="1" thickBot="1">
      <c r="A15" s="247" t="s">
        <v>121</v>
      </c>
      <c r="B15" s="2114">
        <f>+'FORM 16 -2021-2022'!B15:C15</f>
        <v>0</v>
      </c>
      <c r="C15" s="2114"/>
      <c r="D15" s="2115">
        <f>+'FORM 16 -2021-2022'!D15:E15</f>
        <v>0</v>
      </c>
      <c r="E15" s="2116"/>
      <c r="F15" s="2187" t="str">
        <f>+'FORM 16 -2021-2022'!F15:G15</f>
        <v>10/2021</v>
      </c>
      <c r="G15" s="2188"/>
      <c r="H15" s="2187" t="str">
        <f>+'FORM 16 -2021-2022'!H15:I15</f>
        <v>12/2021</v>
      </c>
      <c r="I15" s="2189"/>
    </row>
    <row r="16" spans="1:9" ht="13.5" customHeight="1" thickBot="1">
      <c r="A16" s="248" t="s">
        <v>122</v>
      </c>
      <c r="B16" s="2173">
        <f>+'FORM 16 -2021-2022'!B16:C16</f>
        <v>0</v>
      </c>
      <c r="C16" s="2173"/>
      <c r="D16" s="2174">
        <f>+'FORM 16 -2021-2022'!D16:E16</f>
        <v>0</v>
      </c>
      <c r="E16" s="2175"/>
      <c r="F16" s="2176" t="str">
        <f>+'FORM 16 -2021-2022'!F16:G16</f>
        <v>01/2022</v>
      </c>
      <c r="G16" s="2177"/>
      <c r="H16" s="2176" t="str">
        <f>+'FORM 16 -2021-2022'!H16:I16</f>
        <v>03/2022</v>
      </c>
      <c r="I16" s="2178"/>
    </row>
    <row r="17" spans="1:9" ht="18" customHeight="1">
      <c r="A17" s="2016" t="s">
        <v>187</v>
      </c>
      <c r="B17" s="2017"/>
      <c r="C17" s="2017"/>
      <c r="D17" s="2017"/>
      <c r="E17" s="2017"/>
      <c r="F17" s="2017"/>
      <c r="G17" s="2017"/>
      <c r="H17" s="2017"/>
      <c r="I17" s="2179"/>
    </row>
    <row r="18" spans="1:9" ht="14.25" customHeight="1" thickBot="1">
      <c r="A18" s="2180" t="s">
        <v>244</v>
      </c>
      <c r="B18" s="2181"/>
      <c r="C18" s="2181"/>
      <c r="D18" s="2181"/>
      <c r="E18" s="2181"/>
      <c r="F18" s="2181"/>
      <c r="G18" s="2181"/>
      <c r="H18" s="2181"/>
      <c r="I18" s="2182"/>
    </row>
    <row r="19" spans="1:9" ht="16.5" customHeight="1" thickBot="1">
      <c r="A19" s="2183" t="s">
        <v>245</v>
      </c>
      <c r="B19" s="2185" t="s">
        <v>246</v>
      </c>
      <c r="C19" s="2185"/>
      <c r="D19" s="2163" t="s">
        <v>247</v>
      </c>
      <c r="E19" s="2163"/>
      <c r="F19" s="2163"/>
      <c r="G19" s="2163"/>
      <c r="H19" s="2163"/>
      <c r="I19" s="2164"/>
    </row>
    <row r="20" spans="1:9" ht="40.5" customHeight="1" thickBot="1">
      <c r="A20" s="2184"/>
      <c r="B20" s="2186"/>
      <c r="C20" s="2186"/>
      <c r="D20" s="511" t="s">
        <v>248</v>
      </c>
      <c r="E20" s="512" t="s">
        <v>249</v>
      </c>
      <c r="F20" s="512" t="s">
        <v>250</v>
      </c>
      <c r="G20" s="2165" t="s">
        <v>251</v>
      </c>
      <c r="H20" s="2166"/>
      <c r="I20" s="2167"/>
    </row>
    <row r="21" spans="1:9" ht="18" customHeight="1">
      <c r="A21" s="513" t="s">
        <v>208</v>
      </c>
      <c r="B21" s="2168">
        <f>+N74</f>
        <v>0</v>
      </c>
      <c r="C21" s="2169"/>
      <c r="D21" s="563">
        <f aca="true" t="shared" si="0" ref="D21:F32">+P74</f>
        <v>0</v>
      </c>
      <c r="E21" s="564">
        <f t="shared" si="0"/>
        <v>0</v>
      </c>
      <c r="F21" s="565">
        <f>+R74</f>
        <v>0</v>
      </c>
      <c r="G21" s="2170"/>
      <c r="H21" s="2171"/>
      <c r="I21" s="2172"/>
    </row>
    <row r="22" spans="1:9" ht="18" customHeight="1">
      <c r="A22" s="313" t="s">
        <v>209</v>
      </c>
      <c r="B22" s="2159">
        <f>+N75</f>
        <v>0</v>
      </c>
      <c r="C22" s="2160"/>
      <c r="D22" s="566">
        <f t="shared" si="0"/>
        <v>242465</v>
      </c>
      <c r="E22" s="556" t="str">
        <f t="shared" si="0"/>
        <v>06.05.2016</v>
      </c>
      <c r="F22" s="565">
        <f t="shared" si="0"/>
        <v>3915</v>
      </c>
      <c r="G22" s="2161"/>
      <c r="H22" s="2161"/>
      <c r="I22" s="2162"/>
    </row>
    <row r="23" spans="1:9" ht="18" customHeight="1">
      <c r="A23" s="313" t="s">
        <v>198</v>
      </c>
      <c r="B23" s="2159">
        <f aca="true" t="shared" si="1" ref="B23:B32">+N76</f>
        <v>0</v>
      </c>
      <c r="C23" s="2160"/>
      <c r="D23" s="566">
        <f t="shared" si="0"/>
        <v>242465</v>
      </c>
      <c r="E23" s="556" t="str">
        <f t="shared" si="0"/>
        <v>07.06.2016</v>
      </c>
      <c r="F23" s="565">
        <f t="shared" si="0"/>
        <v>2472</v>
      </c>
      <c r="G23" s="2161"/>
      <c r="H23" s="2161"/>
      <c r="I23" s="2162"/>
    </row>
    <row r="24" spans="1:9" ht="18" customHeight="1">
      <c r="A24" s="313" t="s">
        <v>199</v>
      </c>
      <c r="B24" s="2159">
        <f t="shared" si="1"/>
        <v>0</v>
      </c>
      <c r="C24" s="2160"/>
      <c r="D24" s="566">
        <f t="shared" si="0"/>
        <v>242465</v>
      </c>
      <c r="E24" s="556" t="str">
        <f t="shared" si="0"/>
        <v>12.07.2016</v>
      </c>
      <c r="F24" s="565">
        <f t="shared" si="0"/>
        <v>432</v>
      </c>
      <c r="G24" s="2161"/>
      <c r="H24" s="2161"/>
      <c r="I24" s="2162"/>
    </row>
    <row r="25" spans="1:9" ht="18" customHeight="1">
      <c r="A25" s="313" t="s">
        <v>200</v>
      </c>
      <c r="B25" s="2159">
        <f t="shared" si="1"/>
        <v>0</v>
      </c>
      <c r="C25" s="2160"/>
      <c r="D25" s="566">
        <f t="shared" si="0"/>
        <v>242465</v>
      </c>
      <c r="E25" s="556" t="s">
        <v>252</v>
      </c>
      <c r="F25" s="565">
        <f t="shared" si="0"/>
        <v>1060</v>
      </c>
      <c r="G25" s="2161"/>
      <c r="H25" s="2161"/>
      <c r="I25" s="2162"/>
    </row>
    <row r="26" spans="1:21" ht="18" customHeight="1">
      <c r="A26" s="313" t="s">
        <v>201</v>
      </c>
      <c r="B26" s="2159">
        <f t="shared" si="1"/>
        <v>0</v>
      </c>
      <c r="C26" s="2160"/>
      <c r="D26" s="566">
        <f t="shared" si="0"/>
        <v>242465</v>
      </c>
      <c r="E26" s="556" t="str">
        <f t="shared" si="0"/>
        <v>07.09.2016</v>
      </c>
      <c r="F26" s="565">
        <f t="shared" si="0"/>
        <v>6594</v>
      </c>
      <c r="G26" s="2161"/>
      <c r="H26" s="2161"/>
      <c r="I26" s="2162"/>
      <c r="U26" s="315"/>
    </row>
    <row r="27" spans="1:9" ht="18" customHeight="1">
      <c r="A27" s="313" t="s">
        <v>202</v>
      </c>
      <c r="B27" s="2159">
        <f t="shared" si="1"/>
        <v>0</v>
      </c>
      <c r="C27" s="2160"/>
      <c r="D27" s="566">
        <f t="shared" si="0"/>
        <v>242465</v>
      </c>
      <c r="E27" s="556" t="str">
        <f t="shared" si="0"/>
        <v>07.10.2016</v>
      </c>
      <c r="F27" s="565">
        <f t="shared" si="0"/>
        <v>5223</v>
      </c>
      <c r="G27" s="2161"/>
      <c r="H27" s="2161"/>
      <c r="I27" s="2162"/>
    </row>
    <row r="28" spans="1:9" ht="18" customHeight="1">
      <c r="A28" s="313" t="s">
        <v>203</v>
      </c>
      <c r="B28" s="2159">
        <f t="shared" si="1"/>
        <v>0</v>
      </c>
      <c r="C28" s="2160"/>
      <c r="D28" s="566">
        <f t="shared" si="0"/>
        <v>242465</v>
      </c>
      <c r="E28" s="556" t="str">
        <f t="shared" si="0"/>
        <v>05.11.2016</v>
      </c>
      <c r="F28" s="565">
        <f t="shared" si="0"/>
        <v>9415</v>
      </c>
      <c r="G28" s="2161"/>
      <c r="H28" s="2161"/>
      <c r="I28" s="2162"/>
    </row>
    <row r="29" spans="1:9" ht="18" customHeight="1">
      <c r="A29" s="313" t="s">
        <v>204</v>
      </c>
      <c r="B29" s="2159">
        <f t="shared" si="1"/>
        <v>0</v>
      </c>
      <c r="C29" s="2160"/>
      <c r="D29" s="555">
        <f t="shared" si="0"/>
        <v>242465</v>
      </c>
      <c r="E29" s="556" t="str">
        <f t="shared" si="0"/>
        <v>07.12.2016</v>
      </c>
      <c r="F29" s="565">
        <f t="shared" si="0"/>
        <v>9037</v>
      </c>
      <c r="G29" s="2161"/>
      <c r="H29" s="2161"/>
      <c r="I29" s="2162"/>
    </row>
    <row r="30" spans="1:9" ht="18" customHeight="1">
      <c r="A30" s="313" t="s">
        <v>205</v>
      </c>
      <c r="B30" s="2159">
        <f t="shared" si="1"/>
        <v>0</v>
      </c>
      <c r="C30" s="2160"/>
      <c r="D30" s="555">
        <f t="shared" si="0"/>
        <v>242465</v>
      </c>
      <c r="E30" s="556" t="str">
        <f t="shared" si="0"/>
        <v>07.01.2017</v>
      </c>
      <c r="F30" s="565">
        <f t="shared" si="0"/>
        <v>3167</v>
      </c>
      <c r="G30" s="2161"/>
      <c r="H30" s="2161"/>
      <c r="I30" s="2162"/>
    </row>
    <row r="31" spans="1:9" ht="18" customHeight="1">
      <c r="A31" s="313" t="s">
        <v>206</v>
      </c>
      <c r="B31" s="2159">
        <f t="shared" si="1"/>
        <v>0</v>
      </c>
      <c r="C31" s="2160"/>
      <c r="D31" s="555">
        <f t="shared" si="0"/>
        <v>242465</v>
      </c>
      <c r="E31" s="556" t="str">
        <f t="shared" si="0"/>
        <v>07.02.2017</v>
      </c>
      <c r="F31" s="565">
        <f t="shared" si="0"/>
        <v>5389</v>
      </c>
      <c r="G31" s="2161"/>
      <c r="H31" s="2161"/>
      <c r="I31" s="2162"/>
    </row>
    <row r="32" spans="1:9" ht="18" customHeight="1">
      <c r="A32" s="313" t="s">
        <v>207</v>
      </c>
      <c r="B32" s="2159">
        <f t="shared" si="1"/>
        <v>-9398</v>
      </c>
      <c r="C32" s="2160"/>
      <c r="D32" s="555">
        <f t="shared" si="0"/>
        <v>242465</v>
      </c>
      <c r="E32" s="556" t="str">
        <f t="shared" si="0"/>
        <v>07.03.2017</v>
      </c>
      <c r="F32" s="565">
        <f t="shared" si="0"/>
        <v>13594</v>
      </c>
      <c r="G32" s="2161"/>
      <c r="H32" s="2161"/>
      <c r="I32" s="2162"/>
    </row>
    <row r="33" spans="1:9" ht="18" customHeight="1" thickBot="1">
      <c r="A33" s="514"/>
      <c r="B33" s="2151"/>
      <c r="C33" s="2152"/>
      <c r="D33" s="567"/>
      <c r="E33" s="567"/>
      <c r="F33" s="568"/>
      <c r="G33" s="2153"/>
      <c r="H33" s="2153"/>
      <c r="I33" s="2154"/>
    </row>
    <row r="34" spans="1:12" ht="18" customHeight="1" thickBot="1">
      <c r="A34" s="515" t="s">
        <v>253</v>
      </c>
      <c r="B34" s="2155">
        <f>SUM(B21:B33)</f>
        <v>-9398</v>
      </c>
      <c r="C34" s="2156"/>
      <c r="D34" s="516"/>
      <c r="E34" s="516"/>
      <c r="F34" s="517"/>
      <c r="G34" s="2157"/>
      <c r="H34" s="2157"/>
      <c r="I34" s="2158"/>
      <c r="L34" s="245" t="e">
        <f>[3]!NUM2TEXT(+B34)</f>
        <v>#NAME?</v>
      </c>
    </row>
    <row r="35" spans="1:9" ht="15" customHeight="1">
      <c r="A35" s="2026" t="e">
        <f>"               I, "&amp;+P91&amp;",  Daughter  of  "&amp;+P92&amp;","&amp;"woking in the capacity of  AAO/ADM/EGMORE/CEDC/CENTRAL/TNEB do hereby certify that a sum of Rs. "&amp;+B34&amp;"/="&amp;" ( "&amp;+L34&amp;")"&amp;" has been deducted and deposited to the credit of the Central Government,  I further certify that the information given above is true and correct based on the books of account, documents and TDS statements TDS deposited and other available records."</f>
        <v>#NAME?</v>
      </c>
      <c r="B35" s="2027"/>
      <c r="C35" s="2027"/>
      <c r="D35" s="2027"/>
      <c r="E35" s="2027"/>
      <c r="F35" s="2027"/>
      <c r="G35" s="2027"/>
      <c r="H35" s="2027"/>
      <c r="I35" s="2028"/>
    </row>
    <row r="36" spans="1:9" ht="15.75" customHeight="1">
      <c r="A36" s="2026"/>
      <c r="B36" s="2027"/>
      <c r="C36" s="2027"/>
      <c r="D36" s="2027"/>
      <c r="E36" s="2027"/>
      <c r="F36" s="2027"/>
      <c r="G36" s="2027"/>
      <c r="H36" s="2027"/>
      <c r="I36" s="2028"/>
    </row>
    <row r="37" spans="1:9" ht="15.75" customHeight="1">
      <c r="A37" s="2026"/>
      <c r="B37" s="2027"/>
      <c r="C37" s="2027"/>
      <c r="D37" s="2027"/>
      <c r="E37" s="2027"/>
      <c r="F37" s="2027"/>
      <c r="G37" s="2027"/>
      <c r="H37" s="2027"/>
      <c r="I37" s="2028"/>
    </row>
    <row r="38" spans="1:9" ht="15.75" customHeight="1" thickBot="1">
      <c r="A38" s="2029"/>
      <c r="B38" s="2030"/>
      <c r="C38" s="2030"/>
      <c r="D38" s="2030"/>
      <c r="E38" s="2030"/>
      <c r="F38" s="2030"/>
      <c r="G38" s="2030"/>
      <c r="H38" s="2030"/>
      <c r="I38" s="2031"/>
    </row>
    <row r="39" spans="1:9" ht="18" customHeight="1">
      <c r="A39" s="319"/>
      <c r="B39" s="320"/>
      <c r="C39" s="320"/>
      <c r="D39" s="320"/>
      <c r="E39" s="320"/>
      <c r="F39" s="320"/>
      <c r="G39" s="320"/>
      <c r="H39" s="320"/>
      <c r="I39" s="321"/>
    </row>
    <row r="40" spans="1:9" ht="15" customHeight="1">
      <c r="A40" s="322"/>
      <c r="B40" s="285"/>
      <c r="C40" s="285"/>
      <c r="D40" s="285"/>
      <c r="E40" s="285"/>
      <c r="F40" s="2004" t="s">
        <v>213</v>
      </c>
      <c r="G40" s="2005"/>
      <c r="H40" s="2005"/>
      <c r="I40" s="2006"/>
    </row>
    <row r="41" spans="1:9" ht="15" customHeight="1">
      <c r="A41" s="323" t="s">
        <v>214</v>
      </c>
      <c r="B41" s="293" t="s">
        <v>215</v>
      </c>
      <c r="C41" s="293"/>
      <c r="D41" s="294"/>
      <c r="E41" s="294"/>
      <c r="F41" s="548" t="str">
        <f>"Full Name  "&amp;+P91</f>
        <v>Full Name  0</v>
      </c>
      <c r="G41" s="293"/>
      <c r="H41" s="293"/>
      <c r="I41" s="268"/>
    </row>
    <row r="42" spans="1:9" ht="15" customHeight="1" thickBot="1">
      <c r="A42" s="324" t="s">
        <v>216</v>
      </c>
      <c r="B42" s="549">
        <f>+P88</f>
        <v>0</v>
      </c>
      <c r="C42" s="307"/>
      <c r="D42" s="277"/>
      <c r="E42" s="277"/>
      <c r="F42" s="307" t="s">
        <v>254</v>
      </c>
      <c r="G42" s="307"/>
      <c r="H42" s="307"/>
      <c r="I42" s="279"/>
    </row>
    <row r="43" spans="1:9" ht="15" customHeight="1">
      <c r="A43" s="293"/>
      <c r="B43" s="293"/>
      <c r="C43" s="293"/>
      <c r="D43" s="294"/>
      <c r="E43" s="294"/>
      <c r="F43" s="293"/>
      <c r="G43" s="293"/>
      <c r="H43" s="293"/>
      <c r="I43" s="294"/>
    </row>
    <row r="44" spans="1:12" ht="15" customHeight="1">
      <c r="A44" s="518" t="s">
        <v>255</v>
      </c>
      <c r="B44" s="518"/>
      <c r="C44" s="518"/>
      <c r="D44" s="519"/>
      <c r="E44" s="519"/>
      <c r="F44" s="518"/>
      <c r="G44" s="518"/>
      <c r="H44" s="518"/>
      <c r="I44" s="519"/>
      <c r="J44" s="520"/>
      <c r="K44" s="520"/>
      <c r="L44" s="520"/>
    </row>
    <row r="45" spans="1:12" ht="15" customHeight="1">
      <c r="A45" s="518" t="s">
        <v>256</v>
      </c>
      <c r="B45" s="518"/>
      <c r="C45" s="518"/>
      <c r="D45" s="519"/>
      <c r="E45" s="519"/>
      <c r="F45" s="518"/>
      <c r="G45" s="518"/>
      <c r="H45" s="518"/>
      <c r="I45" s="519"/>
      <c r="J45" s="520"/>
      <c r="K45" s="520"/>
      <c r="L45" s="520"/>
    </row>
    <row r="46" spans="1:12" ht="15" customHeight="1">
      <c r="A46" s="519" t="s">
        <v>257</v>
      </c>
      <c r="B46" s="518"/>
      <c r="C46" s="518"/>
      <c r="D46" s="519"/>
      <c r="E46" s="519"/>
      <c r="F46" s="518"/>
      <c r="G46" s="518"/>
      <c r="H46" s="518"/>
      <c r="I46" s="519"/>
      <c r="J46" s="520"/>
      <c r="K46" s="520"/>
      <c r="L46" s="520"/>
    </row>
    <row r="47" spans="1:12" ht="15" customHeight="1">
      <c r="A47" s="519" t="s">
        <v>258</v>
      </c>
      <c r="B47" s="518"/>
      <c r="C47" s="518"/>
      <c r="D47" s="519"/>
      <c r="E47" s="519"/>
      <c r="F47" s="518"/>
      <c r="G47" s="518"/>
      <c r="H47" s="518"/>
      <c r="I47" s="519"/>
      <c r="J47" s="520"/>
      <c r="K47" s="520"/>
      <c r="L47" s="520"/>
    </row>
    <row r="48" spans="1:12" ht="15" customHeight="1">
      <c r="A48" s="518" t="s">
        <v>259</v>
      </c>
      <c r="B48" s="518"/>
      <c r="C48" s="518"/>
      <c r="D48" s="519"/>
      <c r="E48" s="519"/>
      <c r="F48" s="518"/>
      <c r="G48" s="518"/>
      <c r="H48" s="518"/>
      <c r="I48" s="519"/>
      <c r="J48" s="520"/>
      <c r="K48" s="520"/>
      <c r="L48" s="520"/>
    </row>
    <row r="49" spans="1:12" ht="15" customHeight="1">
      <c r="A49" s="518" t="s">
        <v>260</v>
      </c>
      <c r="B49" s="518"/>
      <c r="C49" s="518"/>
      <c r="D49" s="519"/>
      <c r="E49" s="519"/>
      <c r="F49" s="518"/>
      <c r="G49" s="518"/>
      <c r="H49" s="518"/>
      <c r="I49" s="519"/>
      <c r="J49" s="520"/>
      <c r="K49" s="520"/>
      <c r="L49" s="520"/>
    </row>
    <row r="50" spans="1:12" ht="15" customHeight="1">
      <c r="A50" s="519" t="s">
        <v>261</v>
      </c>
      <c r="B50" s="518"/>
      <c r="C50" s="518"/>
      <c r="D50" s="519"/>
      <c r="E50" s="519"/>
      <c r="F50" s="518"/>
      <c r="G50" s="518"/>
      <c r="H50" s="518"/>
      <c r="I50" s="519"/>
      <c r="J50" s="520"/>
      <c r="K50" s="520"/>
      <c r="L50" s="520"/>
    </row>
    <row r="51" spans="1:12" ht="18" customHeight="1">
      <c r="A51" s="519" t="s">
        <v>262</v>
      </c>
      <c r="B51" s="519"/>
      <c r="C51" s="519"/>
      <c r="D51" s="519"/>
      <c r="E51" s="519"/>
      <c r="F51" s="519"/>
      <c r="G51" s="519"/>
      <c r="H51" s="519"/>
      <c r="I51" s="519"/>
      <c r="J51" s="520"/>
      <c r="K51" s="520"/>
      <c r="L51" s="520"/>
    </row>
    <row r="52" spans="1:12" ht="18" customHeight="1">
      <c r="A52" s="520" t="s">
        <v>263</v>
      </c>
      <c r="B52" s="520"/>
      <c r="C52" s="520"/>
      <c r="D52" s="520"/>
      <c r="E52" s="520"/>
      <c r="F52" s="520"/>
      <c r="G52" s="520"/>
      <c r="H52" s="520"/>
      <c r="I52" s="520"/>
      <c r="J52" s="520"/>
      <c r="K52" s="520"/>
      <c r="L52" s="520"/>
    </row>
    <row r="53" spans="1:14" ht="18" customHeight="1">
      <c r="A53" s="520" t="s">
        <v>264</v>
      </c>
      <c r="B53" s="520"/>
      <c r="C53" s="520"/>
      <c r="D53" s="520"/>
      <c r="E53" s="520"/>
      <c r="F53" s="520"/>
      <c r="G53" s="520"/>
      <c r="H53" s="520"/>
      <c r="I53" s="520"/>
      <c r="J53" s="520"/>
      <c r="K53" s="520"/>
      <c r="L53" s="520"/>
      <c r="M53" s="520"/>
      <c r="N53" s="520"/>
    </row>
    <row r="54" spans="1:14" ht="18" customHeight="1">
      <c r="A54" s="520" t="s">
        <v>265</v>
      </c>
      <c r="B54" s="520"/>
      <c r="C54" s="520"/>
      <c r="D54" s="520"/>
      <c r="E54" s="520"/>
      <c r="F54" s="520"/>
      <c r="G54" s="520"/>
      <c r="H54" s="520"/>
      <c r="I54" s="520"/>
      <c r="J54" s="520"/>
      <c r="K54" s="520"/>
      <c r="L54" s="520"/>
      <c r="M54" s="520"/>
      <c r="N54" s="520"/>
    </row>
    <row r="55" ht="18" customHeight="1">
      <c r="A55" s="520" t="s">
        <v>266</v>
      </c>
    </row>
    <row r="56" spans="12:18" ht="18" customHeight="1">
      <c r="L56" s="328"/>
      <c r="M56" s="328"/>
      <c r="N56" s="328"/>
      <c r="O56" s="328"/>
      <c r="P56" s="328"/>
      <c r="Q56" s="328"/>
      <c r="R56" s="328"/>
    </row>
    <row r="57" spans="12:18" ht="18" customHeight="1">
      <c r="L57" s="1986"/>
      <c r="M57" s="1987"/>
      <c r="N57" s="330"/>
      <c r="O57" s="331"/>
      <c r="P57" s="331"/>
      <c r="Q57" s="331"/>
      <c r="R57" s="331"/>
    </row>
    <row r="58" spans="10:18" ht="12.75" customHeight="1">
      <c r="J58" s="332"/>
      <c r="K58" s="332"/>
      <c r="L58" s="332"/>
      <c r="M58" s="332"/>
      <c r="N58" s="332"/>
      <c r="O58" s="332"/>
      <c r="P58" s="332"/>
      <c r="Q58" s="332"/>
      <c r="R58" s="332"/>
    </row>
    <row r="59" spans="10:18" s="363" customFormat="1" ht="18.75" customHeight="1" thickBot="1">
      <c r="J59" s="362"/>
      <c r="K59" s="362"/>
      <c r="L59" s="362"/>
      <c r="M59" s="362"/>
      <c r="N59" s="362"/>
      <c r="O59" s="362"/>
      <c r="P59" s="362"/>
      <c r="Q59" s="362"/>
      <c r="R59" s="362"/>
    </row>
    <row r="60" spans="9:19" ht="18" customHeight="1">
      <c r="I60" s="1990" t="s">
        <v>218</v>
      </c>
      <c r="J60" s="1990"/>
      <c r="K60" s="1990"/>
      <c r="L60" s="265">
        <f>+'[1]IT-STATEMENT-2014-2015'!U56</f>
        <v>53976</v>
      </c>
      <c r="M60" s="285"/>
      <c r="N60" s="285"/>
      <c r="O60" s="319"/>
      <c r="P60" s="320"/>
      <c r="Q60" s="320"/>
      <c r="R60" s="320"/>
      <c r="S60" s="321"/>
    </row>
    <row r="61" spans="9:19" ht="18" customHeight="1" thickBot="1">
      <c r="I61" s="1990" t="s">
        <v>219</v>
      </c>
      <c r="J61" s="1990"/>
      <c r="K61" s="1990"/>
      <c r="L61" s="325">
        <f>+B34</f>
        <v>-9398</v>
      </c>
      <c r="M61" s="285"/>
      <c r="N61" s="285"/>
      <c r="O61" s="322"/>
      <c r="P61" s="285"/>
      <c r="Q61" s="285"/>
      <c r="R61" s="285"/>
      <c r="S61" s="359"/>
    </row>
    <row r="62" spans="12:19" ht="18" customHeight="1" thickBot="1" thickTop="1">
      <c r="L62" s="326">
        <f>+L60-L61</f>
        <v>63374</v>
      </c>
      <c r="M62" s="285"/>
      <c r="N62" s="285"/>
      <c r="O62" s="2011" t="s">
        <v>109</v>
      </c>
      <c r="P62" s="2012"/>
      <c r="Q62" s="2012"/>
      <c r="R62" s="2012" t="s">
        <v>110</v>
      </c>
      <c r="S62" s="2013"/>
    </row>
    <row r="63" spans="10:19" ht="18" customHeight="1" thickBot="1" thickTop="1">
      <c r="J63" s="332"/>
      <c r="K63" s="332"/>
      <c r="L63" s="332"/>
      <c r="M63" s="332"/>
      <c r="N63" s="332"/>
      <c r="O63" s="2038" t="s">
        <v>267</v>
      </c>
      <c r="P63" s="2039"/>
      <c r="Q63" s="2039"/>
      <c r="R63" s="2009" t="s">
        <v>268</v>
      </c>
      <c r="S63" s="2010"/>
    </row>
    <row r="64" spans="15:19" ht="18" customHeight="1">
      <c r="O64" s="2040" t="s">
        <v>112</v>
      </c>
      <c r="P64" s="2041"/>
      <c r="Q64" s="2041"/>
      <c r="R64" s="2041"/>
      <c r="S64" s="2042"/>
    </row>
    <row r="65" spans="15:19" ht="18" customHeight="1">
      <c r="O65" s="2043"/>
      <c r="P65" s="2044"/>
      <c r="Q65" s="2044"/>
      <c r="R65" s="2044"/>
      <c r="S65" s="2045"/>
    </row>
    <row r="66" spans="15:19" ht="18" customHeight="1">
      <c r="O66" s="2043"/>
      <c r="P66" s="2044"/>
      <c r="Q66" s="2044"/>
      <c r="R66" s="2044"/>
      <c r="S66" s="2045"/>
    </row>
    <row r="67" spans="15:19" ht="18" customHeight="1" thickBot="1">
      <c r="O67" s="2046"/>
      <c r="P67" s="2047"/>
      <c r="Q67" s="2047"/>
      <c r="R67" s="2047"/>
      <c r="S67" s="2048"/>
    </row>
    <row r="68" spans="15:19" ht="18" customHeight="1" thickBot="1">
      <c r="O68" s="2007" t="s">
        <v>115</v>
      </c>
      <c r="P68" s="2008"/>
      <c r="Q68" s="2008"/>
      <c r="R68" s="2008" t="s">
        <v>116</v>
      </c>
      <c r="S68" s="2049"/>
    </row>
    <row r="69" spans="15:19" ht="18" customHeight="1" thickBot="1">
      <c r="O69" s="246" t="s">
        <v>119</v>
      </c>
      <c r="P69" s="2000">
        <f>+'FORM 16 -2021-2022'!P112:Q112</f>
        <v>0</v>
      </c>
      <c r="Q69" s="2000"/>
      <c r="R69" s="2001">
        <f>+'FORM 16 -2021-2022'!R112:S112</f>
        <v>0</v>
      </c>
      <c r="S69" s="2002"/>
    </row>
    <row r="70" spans="15:19" ht="18" customHeight="1" thickBot="1">
      <c r="O70" s="247" t="s">
        <v>120</v>
      </c>
      <c r="P70" s="2000">
        <f>+'FORM 16 -2021-2022'!P113:Q113</f>
        <v>0</v>
      </c>
      <c r="Q70" s="2000"/>
      <c r="R70" s="2001">
        <f>+'FORM 16 -2021-2022'!R113:S113</f>
        <v>0</v>
      </c>
      <c r="S70" s="2002"/>
    </row>
    <row r="71" spans="10:19" ht="18" customHeight="1" thickBot="1">
      <c r="J71" s="333"/>
      <c r="O71" s="247" t="s">
        <v>121</v>
      </c>
      <c r="P71" s="2000">
        <f>+'FORM 16 -2021-2022'!P114:Q114</f>
        <v>0</v>
      </c>
      <c r="Q71" s="2000"/>
      <c r="R71" s="2001">
        <f>+'FORM 16 -2021-2022'!R114:S114</f>
        <v>0</v>
      </c>
      <c r="S71" s="2002"/>
    </row>
    <row r="72" spans="10:19" ht="18" customHeight="1" thickBot="1">
      <c r="J72" s="333"/>
      <c r="M72" s="334"/>
      <c r="O72" s="248" t="s">
        <v>122</v>
      </c>
      <c r="P72" s="2000">
        <f>+'FORM 16 -2021-2022'!P115:Q115</f>
        <v>0</v>
      </c>
      <c r="Q72" s="2000"/>
      <c r="R72" s="2001">
        <f>+'FORM 16 -2021-2022'!R115:S115</f>
        <v>0</v>
      </c>
      <c r="S72" s="2002"/>
    </row>
    <row r="73" spans="10:26" ht="78.75" customHeight="1">
      <c r="J73" s="335"/>
      <c r="K73" s="331"/>
      <c r="L73" s="331"/>
      <c r="M73" s="346" t="s">
        <v>189</v>
      </c>
      <c r="N73" s="346" t="s">
        <v>269</v>
      </c>
      <c r="O73" s="346" t="s">
        <v>220</v>
      </c>
      <c r="P73" s="347" t="s">
        <v>195</v>
      </c>
      <c r="Q73" s="347" t="s">
        <v>196</v>
      </c>
      <c r="R73" s="348" t="s">
        <v>197</v>
      </c>
      <c r="S73" s="359"/>
      <c r="T73" s="285"/>
      <c r="U73" s="285"/>
      <c r="V73" s="285"/>
      <c r="W73" s="285"/>
      <c r="X73" s="285"/>
      <c r="Y73" s="285"/>
      <c r="Z73" s="285"/>
    </row>
    <row r="74" spans="10:26" ht="18" customHeight="1">
      <c r="J74" s="285"/>
      <c r="K74" s="285"/>
      <c r="L74" s="285"/>
      <c r="M74" s="349">
        <v>3</v>
      </c>
      <c r="N74" s="349">
        <f>+'FORM 16 -2021-2022'!N117</f>
        <v>0</v>
      </c>
      <c r="O74" s="349">
        <f>+'FORM 16 -2021-2022'!O117</f>
        <v>49000</v>
      </c>
      <c r="P74" s="337">
        <f>+'FORM 16 -2021-2022'!P117</f>
        <v>0</v>
      </c>
      <c r="Q74" s="337">
        <f>+'FORM 16 -2021-2022'!Q117</f>
        <v>0</v>
      </c>
      <c r="R74" s="337">
        <f>+'FORM 16 -2021-2022'!R117</f>
        <v>0</v>
      </c>
      <c r="S74" s="359"/>
      <c r="T74" s="285"/>
      <c r="U74" s="285"/>
      <c r="V74" s="285"/>
      <c r="W74" s="285"/>
      <c r="X74" s="285"/>
      <c r="Y74" s="285"/>
      <c r="Z74" s="285"/>
    </row>
    <row r="75" spans="10:26" ht="18" customHeight="1">
      <c r="J75" s="285"/>
      <c r="K75" s="285"/>
      <c r="L75" s="285"/>
      <c r="M75" s="336">
        <f>+M74+1</f>
        <v>4</v>
      </c>
      <c r="N75" s="349">
        <f>+'FORM 16 -2021-2022'!N118</f>
        <v>0</v>
      </c>
      <c r="O75" s="349">
        <f>+'FORM 16 -2021-2022'!O118</f>
        <v>129500</v>
      </c>
      <c r="P75" s="337">
        <f>+'FORM 16 -2021-2022'!P118</f>
        <v>242465</v>
      </c>
      <c r="Q75" s="337" t="str">
        <f>+'FORM 16 -2021-2022'!Q118</f>
        <v>06.05.2016</v>
      </c>
      <c r="R75" s="337">
        <f>+'FORM 16 -2021-2022'!R118</f>
        <v>3915</v>
      </c>
      <c r="S75" s="359"/>
      <c r="T75" s="285"/>
      <c r="U75" s="285"/>
      <c r="V75" s="285"/>
      <c r="W75" s="285"/>
      <c r="X75" s="285"/>
      <c r="Y75" s="285"/>
      <c r="Z75" s="285"/>
    </row>
    <row r="76" spans="10:26" ht="18" customHeight="1">
      <c r="J76" s="285"/>
      <c r="K76" s="285"/>
      <c r="L76" s="285"/>
      <c r="M76" s="336">
        <f aca="true" t="shared" si="2" ref="M76:M85">+M75+1</f>
        <v>5</v>
      </c>
      <c r="N76" s="349">
        <f>+'FORM 16 -2021-2022'!N119</f>
        <v>0</v>
      </c>
      <c r="O76" s="349">
        <f>+'FORM 16 -2021-2022'!O119</f>
        <v>146500</v>
      </c>
      <c r="P76" s="337">
        <f>+'FORM 16 -2021-2022'!P119</f>
        <v>242465</v>
      </c>
      <c r="Q76" s="337" t="str">
        <f>+'FORM 16 -2021-2022'!Q119</f>
        <v>07.06.2016</v>
      </c>
      <c r="R76" s="337">
        <f>+'FORM 16 -2021-2022'!R119</f>
        <v>2472</v>
      </c>
      <c r="S76" s="359"/>
      <c r="T76" s="285"/>
      <c r="U76" s="285"/>
      <c r="V76" s="285"/>
      <c r="W76" s="285"/>
      <c r="X76" s="285"/>
      <c r="Y76" s="285"/>
      <c r="Z76" s="285"/>
    </row>
    <row r="77" spans="10:26" ht="18" customHeight="1">
      <c r="J77" s="285"/>
      <c r="K77" s="285"/>
      <c r="L77" s="285"/>
      <c r="M77" s="336">
        <f t="shared" si="2"/>
        <v>6</v>
      </c>
      <c r="N77" s="349">
        <f>+'FORM 16 -2021-2022'!N120</f>
        <v>0</v>
      </c>
      <c r="O77" s="349">
        <f>+'FORM 16 -2021-2022'!O120</f>
        <v>182000</v>
      </c>
      <c r="P77" s="337">
        <f>+'FORM 16 -2021-2022'!P120</f>
        <v>242465</v>
      </c>
      <c r="Q77" s="337" t="str">
        <f>+'FORM 16 -2021-2022'!Q120</f>
        <v>12.07.2016</v>
      </c>
      <c r="R77" s="337">
        <f>+'FORM 16 -2021-2022'!R120</f>
        <v>432</v>
      </c>
      <c r="S77" s="359"/>
      <c r="T77" s="285"/>
      <c r="U77" s="285"/>
      <c r="V77" s="285"/>
      <c r="W77" s="285"/>
      <c r="X77" s="285"/>
      <c r="Y77" s="285"/>
      <c r="Z77" s="285"/>
    </row>
    <row r="78" spans="10:26" ht="18" customHeight="1">
      <c r="J78" s="285"/>
      <c r="K78" s="285"/>
      <c r="L78" s="285"/>
      <c r="M78" s="336">
        <f t="shared" si="2"/>
        <v>7</v>
      </c>
      <c r="N78" s="349">
        <f>+'FORM 16 -2021-2022'!N121</f>
        <v>0</v>
      </c>
      <c r="O78" s="349">
        <f>+'FORM 16 -2021-2022'!O121</f>
        <v>206000</v>
      </c>
      <c r="P78" s="337">
        <f>+'FORM 16 -2021-2022'!P121</f>
        <v>242465</v>
      </c>
      <c r="Q78" s="337" t="str">
        <f>+'FORM 16 -2021-2022'!Q121</f>
        <v>09.08.2016</v>
      </c>
      <c r="R78" s="337">
        <f>+'FORM 16 -2021-2022'!R121</f>
        <v>1060</v>
      </c>
      <c r="S78" s="359"/>
      <c r="T78" s="285"/>
      <c r="U78" s="285"/>
      <c r="V78" s="285"/>
      <c r="W78" s="285"/>
      <c r="X78" s="285"/>
      <c r="Y78" s="285"/>
      <c r="Z78" s="285"/>
    </row>
    <row r="79" spans="10:26" ht="18" customHeight="1">
      <c r="J79" s="285"/>
      <c r="K79" s="285"/>
      <c r="L79" s="285"/>
      <c r="M79" s="336">
        <f t="shared" si="2"/>
        <v>8</v>
      </c>
      <c r="N79" s="349">
        <f>+'FORM 16 -2021-2022'!N122</f>
        <v>0</v>
      </c>
      <c r="O79" s="349">
        <f>+'FORM 16 -2021-2022'!O122</f>
        <v>268375</v>
      </c>
      <c r="P79" s="337">
        <f>+'FORM 16 -2021-2022'!P122</f>
        <v>242465</v>
      </c>
      <c r="Q79" s="337" t="str">
        <f>+'FORM 16 -2021-2022'!Q122</f>
        <v>07.09.2016</v>
      </c>
      <c r="R79" s="337">
        <f>+'FORM 16 -2021-2022'!R122</f>
        <v>6594</v>
      </c>
      <c r="S79" s="359"/>
      <c r="T79" s="285"/>
      <c r="U79" s="285"/>
      <c r="V79" s="285"/>
      <c r="W79" s="285"/>
      <c r="X79" s="285"/>
      <c r="Y79" s="285"/>
      <c r="Z79" s="285"/>
    </row>
    <row r="80" spans="10:26" ht="18" customHeight="1">
      <c r="J80" s="285"/>
      <c r="K80" s="285"/>
      <c r="L80" s="285"/>
      <c r="M80" s="336">
        <f t="shared" si="2"/>
        <v>9</v>
      </c>
      <c r="N80" s="349">
        <f>+'FORM 16 -2021-2022'!N123</f>
        <v>0</v>
      </c>
      <c r="O80" s="349">
        <f>+'FORM 16 -2021-2022'!O123</f>
        <v>263500</v>
      </c>
      <c r="P80" s="337">
        <f>+'FORM 16 -2021-2022'!P123</f>
        <v>242465</v>
      </c>
      <c r="Q80" s="337" t="str">
        <f>+'FORM 16 -2021-2022'!Q123</f>
        <v>07.10.2016</v>
      </c>
      <c r="R80" s="337">
        <f>+'FORM 16 -2021-2022'!R123</f>
        <v>5223</v>
      </c>
      <c r="S80" s="359"/>
      <c r="T80" s="285"/>
      <c r="U80" s="285"/>
      <c r="V80" s="285"/>
      <c r="W80" s="285"/>
      <c r="X80" s="285"/>
      <c r="Y80" s="285"/>
      <c r="Z80" s="285"/>
    </row>
    <row r="81" spans="10:26" ht="18" customHeight="1">
      <c r="J81" s="285"/>
      <c r="K81" s="285"/>
      <c r="L81" s="285"/>
      <c r="M81" s="336">
        <f t="shared" si="2"/>
        <v>10</v>
      </c>
      <c r="N81" s="349">
        <f>+'FORM 16 -2021-2022'!N124</f>
        <v>0</v>
      </c>
      <c r="O81" s="349">
        <f>+'FORM 16 -2021-2022'!O124</f>
        <v>0</v>
      </c>
      <c r="P81" s="337">
        <f>+'FORM 16 -2021-2022'!P124</f>
        <v>242465</v>
      </c>
      <c r="Q81" s="337" t="str">
        <f>+'FORM 16 -2021-2022'!Q124</f>
        <v>05.11.2016</v>
      </c>
      <c r="R81" s="337">
        <f>+'FORM 16 -2021-2022'!R124</f>
        <v>9415</v>
      </c>
      <c r="S81" s="359"/>
      <c r="T81" s="285"/>
      <c r="U81" s="285"/>
      <c r="V81" s="285"/>
      <c r="W81" s="285"/>
      <c r="X81" s="285"/>
      <c r="Y81" s="285"/>
      <c r="Z81" s="285"/>
    </row>
    <row r="82" spans="10:26" ht="18" customHeight="1">
      <c r="J82" s="285"/>
      <c r="K82" s="285"/>
      <c r="L82" s="285"/>
      <c r="M82" s="336">
        <f t="shared" si="2"/>
        <v>11</v>
      </c>
      <c r="N82" s="349">
        <f>+'FORM 16 -2021-2022'!N125</f>
        <v>0</v>
      </c>
      <c r="O82" s="349">
        <f>+'FORM 16 -2021-2022'!O125</f>
        <v>0</v>
      </c>
      <c r="P82" s="337">
        <f>+'FORM 16 -2021-2022'!P125</f>
        <v>242465</v>
      </c>
      <c r="Q82" s="337" t="str">
        <f>+'FORM 16 -2021-2022'!Q125</f>
        <v>07.12.2016</v>
      </c>
      <c r="R82" s="337">
        <f>+'FORM 16 -2021-2022'!R125</f>
        <v>9037</v>
      </c>
      <c r="S82" s="359"/>
      <c r="T82" s="285"/>
      <c r="U82" s="285"/>
      <c r="V82" s="285"/>
      <c r="W82" s="285"/>
      <c r="X82" s="285"/>
      <c r="Y82" s="285"/>
      <c r="Z82" s="285"/>
    </row>
    <row r="83" spans="10:26" ht="18" customHeight="1">
      <c r="J83" s="285"/>
      <c r="K83" s="285"/>
      <c r="L83" s="285"/>
      <c r="M83" s="336">
        <f t="shared" si="2"/>
        <v>12</v>
      </c>
      <c r="N83" s="349">
        <f>+'FORM 16 -2021-2022'!N126</f>
        <v>0</v>
      </c>
      <c r="O83" s="349">
        <f>+'FORM 16 -2021-2022'!O126</f>
        <v>0</v>
      </c>
      <c r="P83" s="337">
        <f>+'FORM 16 -2021-2022'!P126</f>
        <v>242465</v>
      </c>
      <c r="Q83" s="337" t="str">
        <f>+'FORM 16 -2021-2022'!Q126</f>
        <v>07.01.2017</v>
      </c>
      <c r="R83" s="337">
        <f>+'FORM 16 -2021-2022'!R126</f>
        <v>3167</v>
      </c>
      <c r="S83" s="359"/>
      <c r="T83" s="285"/>
      <c r="U83" s="285"/>
      <c r="V83" s="285"/>
      <c r="W83" s="285"/>
      <c r="X83" s="285"/>
      <c r="Y83" s="285"/>
      <c r="Z83" s="285"/>
    </row>
    <row r="84" spans="10:26" ht="18" customHeight="1">
      <c r="J84" s="285"/>
      <c r="K84" s="285"/>
      <c r="L84" s="285"/>
      <c r="M84" s="336">
        <v>1</v>
      </c>
      <c r="N84" s="349">
        <f>+'FORM 16 -2021-2022'!N127</f>
        <v>0</v>
      </c>
      <c r="O84" s="349">
        <f>+'FORM 16 -2021-2022'!O127</f>
        <v>0</v>
      </c>
      <c r="P84" s="337">
        <f>+'FORM 16 -2021-2022'!P127</f>
        <v>242465</v>
      </c>
      <c r="Q84" s="337" t="str">
        <f>+'FORM 16 -2021-2022'!Q127</f>
        <v>07.02.2017</v>
      </c>
      <c r="R84" s="337">
        <f>+'FORM 16 -2021-2022'!R127</f>
        <v>5389</v>
      </c>
      <c r="S84" s="359"/>
      <c r="T84" s="285"/>
      <c r="U84" s="285"/>
      <c r="V84" s="285"/>
      <c r="W84" s="285"/>
      <c r="X84" s="285"/>
      <c r="Y84" s="285"/>
      <c r="Z84" s="285"/>
    </row>
    <row r="85" spans="10:26" ht="18" customHeight="1">
      <c r="J85" s="285"/>
      <c r="K85" s="285"/>
      <c r="L85" s="285"/>
      <c r="M85" s="336">
        <f t="shared" si="2"/>
        <v>2</v>
      </c>
      <c r="N85" s="349">
        <f>+'FORM 16 -2021-2022'!N128</f>
        <v>-9398</v>
      </c>
      <c r="O85" s="349">
        <f>+'FORM 16 -2021-2022'!O128</f>
        <v>0</v>
      </c>
      <c r="P85" s="337">
        <f>+'FORM 16 -2021-2022'!P128</f>
        <v>242465</v>
      </c>
      <c r="Q85" s="337" t="str">
        <f>+'FORM 16 -2021-2022'!Q128</f>
        <v>07.03.2017</v>
      </c>
      <c r="R85" s="337">
        <f>+'FORM 16 -2021-2022'!R128</f>
        <v>13594</v>
      </c>
      <c r="S85" s="359"/>
      <c r="T85" s="285"/>
      <c r="U85" s="285"/>
      <c r="V85" s="285"/>
      <c r="W85" s="285"/>
      <c r="X85" s="285"/>
      <c r="Y85" s="285"/>
      <c r="Z85" s="285"/>
    </row>
    <row r="86" spans="10:26" ht="18" customHeight="1">
      <c r="J86" s="285"/>
      <c r="K86" s="285"/>
      <c r="L86" s="285"/>
      <c r="M86" s="285"/>
      <c r="N86" s="285"/>
      <c r="O86" s="336"/>
      <c r="P86" s="341"/>
      <c r="Q86" s="338"/>
      <c r="R86" s="339"/>
      <c r="S86" s="359"/>
      <c r="T86" s="285"/>
      <c r="U86" s="285"/>
      <c r="V86" s="285"/>
      <c r="W86" s="285"/>
      <c r="X86" s="285"/>
      <c r="Y86" s="285"/>
      <c r="Z86" s="285"/>
    </row>
    <row r="87" spans="10:26" ht="18" customHeight="1">
      <c r="J87" s="285"/>
      <c r="K87" s="285"/>
      <c r="L87" s="285"/>
      <c r="M87" s="285"/>
      <c r="N87" s="285"/>
      <c r="O87" s="336"/>
      <c r="P87" s="341"/>
      <c r="Q87" s="338"/>
      <c r="R87" s="339"/>
      <c r="S87" s="359"/>
      <c r="T87" s="285"/>
      <c r="U87" s="285"/>
      <c r="V87" s="285"/>
      <c r="W87" s="285"/>
      <c r="X87" s="285"/>
      <c r="Y87" s="285"/>
      <c r="Z87" s="285"/>
    </row>
    <row r="88" spans="10:26" ht="18" customHeight="1" thickBot="1">
      <c r="J88" s="285"/>
      <c r="K88" s="285"/>
      <c r="L88" s="285"/>
      <c r="M88" s="285"/>
      <c r="N88" s="285"/>
      <c r="O88" s="350" t="s">
        <v>216</v>
      </c>
      <c r="P88" s="345">
        <f>+'FORM 16 -2021-2022'!P131</f>
        <v>0</v>
      </c>
      <c r="Q88" s="342"/>
      <c r="R88" s="351"/>
      <c r="S88" s="359"/>
      <c r="T88" s="285"/>
      <c r="U88" s="285"/>
      <c r="V88" s="285"/>
      <c r="W88" s="285"/>
      <c r="X88" s="285"/>
      <c r="Y88" s="285"/>
      <c r="Z88" s="285"/>
    </row>
    <row r="89" spans="15:26" ht="18" customHeight="1">
      <c r="O89" s="352" t="s">
        <v>224</v>
      </c>
      <c r="P89" s="366">
        <f>+'FORM 16 -2021-2022'!P132</f>
        <v>0</v>
      </c>
      <c r="Q89" s="343"/>
      <c r="R89" s="353"/>
      <c r="S89" s="360"/>
      <c r="T89" s="365"/>
      <c r="U89" s="285"/>
      <c r="V89" s="285"/>
      <c r="W89" s="285"/>
      <c r="X89" s="285"/>
      <c r="Y89" s="285"/>
      <c r="Z89" s="285"/>
    </row>
    <row r="90" spans="15:26" ht="18" customHeight="1">
      <c r="O90" s="340"/>
      <c r="P90" s="342"/>
      <c r="Q90" s="342"/>
      <c r="R90" s="351"/>
      <c r="S90" s="359"/>
      <c r="T90" s="285"/>
      <c r="U90" s="285"/>
      <c r="V90" s="285"/>
      <c r="W90" s="285"/>
      <c r="X90" s="285"/>
      <c r="Y90" s="285"/>
      <c r="Z90" s="285"/>
    </row>
    <row r="91" spans="15:19" ht="18" customHeight="1">
      <c r="O91" s="354" t="s">
        <v>211</v>
      </c>
      <c r="P91" s="344">
        <f>+'FORM 16 -2021-2022'!P134</f>
        <v>0</v>
      </c>
      <c r="Q91" s="342"/>
      <c r="R91" s="351"/>
      <c r="S91" s="359"/>
    </row>
    <row r="92" spans="15:19" ht="18" customHeight="1" thickBot="1">
      <c r="O92" s="355" t="s">
        <v>212</v>
      </c>
      <c r="P92" s="356">
        <f>+'FORM 16 -2021-2022'!P135</f>
        <v>0</v>
      </c>
      <c r="Q92" s="357"/>
      <c r="R92" s="358"/>
      <c r="S92" s="361"/>
    </row>
    <row r="93" s="364" customFormat="1" ht="18" customHeight="1"/>
  </sheetData>
  <sheetProtection/>
  <mergeCells count="96">
    <mergeCell ref="A1:D1"/>
    <mergeCell ref="E1:I1"/>
    <mergeCell ref="A2:E2"/>
    <mergeCell ref="F2:I2"/>
    <mergeCell ref="A3:E3"/>
    <mergeCell ref="F3:I3"/>
    <mergeCell ref="F4:I4"/>
    <mergeCell ref="A5:E5"/>
    <mergeCell ref="F5:I5"/>
    <mergeCell ref="A7:C7"/>
    <mergeCell ref="D7:E7"/>
    <mergeCell ref="F7:I7"/>
    <mergeCell ref="A6:C6"/>
    <mergeCell ref="D6:E6"/>
    <mergeCell ref="F6:I6"/>
    <mergeCell ref="A4:E4"/>
    <mergeCell ref="A8:E11"/>
    <mergeCell ref="F8:G8"/>
    <mergeCell ref="H8:I8"/>
    <mergeCell ref="F9:G9"/>
    <mergeCell ref="H9:I11"/>
    <mergeCell ref="F10:G11"/>
    <mergeCell ref="A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22:C22"/>
    <mergeCell ref="G22:I22"/>
    <mergeCell ref="B16:C16"/>
    <mergeCell ref="D16:E16"/>
    <mergeCell ref="F16:G16"/>
    <mergeCell ref="H16:I16"/>
    <mergeCell ref="A17:I17"/>
    <mergeCell ref="A18:I18"/>
    <mergeCell ref="A19:A20"/>
    <mergeCell ref="B19:C20"/>
    <mergeCell ref="D19:I19"/>
    <mergeCell ref="G20:I20"/>
    <mergeCell ref="B21:C21"/>
    <mergeCell ref="G21:I21"/>
    <mergeCell ref="B30:C30"/>
    <mergeCell ref="G30:I30"/>
    <mergeCell ref="B25:C25"/>
    <mergeCell ref="G25:I25"/>
    <mergeCell ref="B26:C26"/>
    <mergeCell ref="G26:I26"/>
    <mergeCell ref="B27:C27"/>
    <mergeCell ref="G27:I27"/>
    <mergeCell ref="B28:C28"/>
    <mergeCell ref="G28:I28"/>
    <mergeCell ref="B29:C29"/>
    <mergeCell ref="G29:I29"/>
    <mergeCell ref="B23:C23"/>
    <mergeCell ref="G23:I23"/>
    <mergeCell ref="B24:C24"/>
    <mergeCell ref="G24:I24"/>
    <mergeCell ref="L57:M57"/>
    <mergeCell ref="I60:K60"/>
    <mergeCell ref="B31:C31"/>
    <mergeCell ref="G31:I31"/>
    <mergeCell ref="B32:C32"/>
    <mergeCell ref="G32:I32"/>
    <mergeCell ref="B33:C33"/>
    <mergeCell ref="G33:I33"/>
    <mergeCell ref="B34:C34"/>
    <mergeCell ref="G34:I34"/>
    <mergeCell ref="A35:I38"/>
    <mergeCell ref="F40:I40"/>
    <mergeCell ref="P72:Q72"/>
    <mergeCell ref="R72:S72"/>
    <mergeCell ref="O68:Q68"/>
    <mergeCell ref="R68:S68"/>
    <mergeCell ref="P69:Q69"/>
    <mergeCell ref="P71:Q71"/>
    <mergeCell ref="R71:S71"/>
    <mergeCell ref="I61:K61"/>
    <mergeCell ref="R69:S69"/>
    <mergeCell ref="P70:Q70"/>
    <mergeCell ref="R70:S70"/>
    <mergeCell ref="O64:S67"/>
    <mergeCell ref="O62:Q62"/>
    <mergeCell ref="R62:S62"/>
    <mergeCell ref="O63:Q63"/>
    <mergeCell ref="R63:S63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0:K33"/>
  <sheetViews>
    <sheetView zoomScalePageLayoutView="0" workbookViewId="0" topLeftCell="A1">
      <selection activeCell="P25" sqref="P25"/>
    </sheetView>
  </sheetViews>
  <sheetFormatPr defaultColWidth="9.140625" defaultRowHeight="12.75"/>
  <sheetData>
    <row r="10" spans="2:10" ht="18">
      <c r="B10" s="2193" t="s">
        <v>305</v>
      </c>
      <c r="C10" s="2193"/>
      <c r="D10" s="2193"/>
      <c r="E10" s="2193"/>
      <c r="F10" s="2193"/>
      <c r="G10" s="2193"/>
      <c r="H10" s="2193"/>
      <c r="I10" s="2193"/>
      <c r="J10" s="2193"/>
    </row>
    <row r="11" spans="2:10" ht="18">
      <c r="B11" s="498"/>
      <c r="C11" s="498"/>
      <c r="D11" s="498"/>
      <c r="E11" s="498"/>
      <c r="F11" s="498"/>
      <c r="G11" s="498"/>
      <c r="H11" s="498"/>
      <c r="I11" s="498"/>
      <c r="J11" s="498"/>
    </row>
    <row r="13" spans="1:10" ht="12.75" customHeight="1">
      <c r="A13" s="2195" t="e">
        <f>"Received a sum of Rs."&amp;+'IT-STATEMENT-2021-2022 OLD'!C13&amp;"/-"&amp;"("&amp;+'IT-STATEMENT-2021-2022 OLD'!V96&amp;")"&amp;" from"&amp;" "&amp;+'IT-STATEMENT-2021-2022 OLD'!I3&amp;", towards the rent for the Door No……………………………………………………………………………………………………………………for the Month of …………………………………"</f>
        <v>#NAME?</v>
      </c>
      <c r="B13" s="2195"/>
      <c r="C13" s="2195"/>
      <c r="D13" s="2195"/>
      <c r="E13" s="2195"/>
      <c r="F13" s="2195"/>
      <c r="G13" s="2195"/>
      <c r="H13" s="2195"/>
      <c r="I13" s="2195"/>
      <c r="J13" s="2195"/>
    </row>
    <row r="14" spans="1:10" ht="12.75" customHeight="1">
      <c r="A14" s="2195"/>
      <c r="B14" s="2195"/>
      <c r="C14" s="2195"/>
      <c r="D14" s="2195"/>
      <c r="E14" s="2195"/>
      <c r="F14" s="2195"/>
      <c r="G14" s="2195"/>
      <c r="H14" s="2195"/>
      <c r="I14" s="2195"/>
      <c r="J14" s="2195"/>
    </row>
    <row r="15" spans="1:10" ht="12.75" customHeight="1">
      <c r="A15" s="2195"/>
      <c r="B15" s="2195"/>
      <c r="C15" s="2195"/>
      <c r="D15" s="2195"/>
      <c r="E15" s="2195"/>
      <c r="F15" s="2195"/>
      <c r="G15" s="2195"/>
      <c r="H15" s="2195"/>
      <c r="I15" s="2195"/>
      <c r="J15" s="2195"/>
    </row>
    <row r="16" spans="1:10" ht="12.75" customHeight="1">
      <c r="A16" s="2195"/>
      <c r="B16" s="2195"/>
      <c r="C16" s="2195"/>
      <c r="D16" s="2195"/>
      <c r="E16" s="2195"/>
      <c r="F16" s="2195"/>
      <c r="G16" s="2195"/>
      <c r="H16" s="2195"/>
      <c r="I16" s="2195"/>
      <c r="J16" s="2195"/>
    </row>
    <row r="17" spans="1:10" ht="12.75" customHeight="1">
      <c r="A17" s="2195"/>
      <c r="B17" s="2195"/>
      <c r="C17" s="2195"/>
      <c r="D17" s="2195"/>
      <c r="E17" s="2195"/>
      <c r="F17" s="2195"/>
      <c r="G17" s="2195"/>
      <c r="H17" s="2195"/>
      <c r="I17" s="2195"/>
      <c r="J17" s="2195"/>
    </row>
    <row r="18" spans="1:10" ht="12.75" customHeight="1">
      <c r="A18" s="2195"/>
      <c r="B18" s="2195"/>
      <c r="C18" s="2195"/>
      <c r="D18" s="2195"/>
      <c r="E18" s="2195"/>
      <c r="F18" s="2195"/>
      <c r="G18" s="2195"/>
      <c r="H18" s="2195"/>
      <c r="I18" s="2195"/>
      <c r="J18" s="2195"/>
    </row>
    <row r="19" spans="1:10" ht="12.75" customHeight="1">
      <c r="A19" s="2195"/>
      <c r="B19" s="2195"/>
      <c r="C19" s="2195"/>
      <c r="D19" s="2195"/>
      <c r="E19" s="2195"/>
      <c r="F19" s="2195"/>
      <c r="G19" s="2195"/>
      <c r="H19" s="2195"/>
      <c r="I19" s="2195"/>
      <c r="J19" s="2195"/>
    </row>
    <row r="20" spans="1:10" ht="12.75" customHeight="1">
      <c r="A20" s="2195"/>
      <c r="B20" s="2195"/>
      <c r="C20" s="2195"/>
      <c r="D20" s="2195"/>
      <c r="E20" s="2195"/>
      <c r="F20" s="2195"/>
      <c r="G20" s="2195"/>
      <c r="H20" s="2195"/>
      <c r="I20" s="2195"/>
      <c r="J20" s="2195"/>
    </row>
    <row r="21" spans="1:10" ht="12.75" customHeight="1">
      <c r="A21" s="2195"/>
      <c r="B21" s="2195"/>
      <c r="C21" s="2195"/>
      <c r="D21" s="2195"/>
      <c r="E21" s="2195"/>
      <c r="F21" s="2195"/>
      <c r="G21" s="2195"/>
      <c r="H21" s="2195"/>
      <c r="I21" s="2195"/>
      <c r="J21" s="2195"/>
    </row>
    <row r="23" spans="9:10" ht="18">
      <c r="I23" s="2194"/>
      <c r="J23" s="2194"/>
    </row>
    <row r="32" spans="1:11" ht="18">
      <c r="A32" s="590" t="s">
        <v>306</v>
      </c>
      <c r="G32" s="2194" t="s">
        <v>307</v>
      </c>
      <c r="H32" s="2194"/>
      <c r="I32" s="2194"/>
      <c r="J32" s="2194"/>
      <c r="K32" s="591"/>
    </row>
    <row r="33" ht="18">
      <c r="A33" s="590" t="s">
        <v>308</v>
      </c>
    </row>
  </sheetData>
  <sheetProtection/>
  <mergeCells count="4">
    <mergeCell ref="B10:J10"/>
    <mergeCell ref="I23:J23"/>
    <mergeCell ref="A13:J21"/>
    <mergeCell ref="G32:J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7:D16"/>
  <sheetViews>
    <sheetView zoomScalePageLayoutView="0" workbookViewId="0" topLeftCell="A1">
      <selection activeCell="C16" sqref="C16"/>
    </sheetView>
  </sheetViews>
  <sheetFormatPr defaultColWidth="9.140625" defaultRowHeight="12.75"/>
  <cols>
    <col min="2" max="2" width="44.8515625" style="0" customWidth="1"/>
    <col min="3" max="3" width="21.7109375" style="0" customWidth="1"/>
    <col min="4" max="4" width="34.8515625" style="0" customWidth="1"/>
  </cols>
  <sheetData>
    <row r="7" ht="15">
      <c r="B7" s="1388"/>
    </row>
    <row r="8" ht="43.5" thickBot="1">
      <c r="B8" s="1389" t="s">
        <v>416</v>
      </c>
    </row>
    <row r="9" spans="2:4" ht="24" customHeight="1" thickBot="1">
      <c r="B9" s="1390" t="s">
        <v>417</v>
      </c>
      <c r="C9" s="1390" t="s">
        <v>418</v>
      </c>
      <c r="D9" s="1390" t="s">
        <v>419</v>
      </c>
    </row>
    <row r="10" spans="2:4" ht="15" thickBot="1">
      <c r="B10" s="1391" t="s">
        <v>420</v>
      </c>
      <c r="C10" s="1391" t="s">
        <v>421</v>
      </c>
      <c r="D10" s="1391" t="s">
        <v>421</v>
      </c>
    </row>
    <row r="11" spans="2:4" ht="15" thickBot="1">
      <c r="B11" s="1392" t="s">
        <v>422</v>
      </c>
      <c r="C11" s="1393">
        <v>0.05</v>
      </c>
      <c r="D11" s="1393">
        <v>0.05</v>
      </c>
    </row>
    <row r="12" spans="2:4" ht="15" thickBot="1">
      <c r="B12" s="1391" t="s">
        <v>423</v>
      </c>
      <c r="C12" s="1394">
        <v>0.1</v>
      </c>
      <c r="D12" s="1394">
        <v>0.2</v>
      </c>
    </row>
    <row r="13" spans="2:4" ht="15" thickBot="1">
      <c r="B13" s="1392" t="s">
        <v>424</v>
      </c>
      <c r="C13" s="1393">
        <v>0.15</v>
      </c>
      <c r="D13" s="1393">
        <v>0.2</v>
      </c>
    </row>
    <row r="14" spans="2:4" ht="15" thickBot="1">
      <c r="B14" s="1391" t="s">
        <v>425</v>
      </c>
      <c r="C14" s="1394">
        <v>0.2</v>
      </c>
      <c r="D14" s="1394">
        <v>0.3</v>
      </c>
    </row>
    <row r="15" spans="2:4" ht="15" thickBot="1">
      <c r="B15" s="1392" t="s">
        <v>426</v>
      </c>
      <c r="C15" s="1393">
        <v>0.25</v>
      </c>
      <c r="D15" s="1393">
        <v>0.3</v>
      </c>
    </row>
    <row r="16" spans="2:4" ht="15" thickBot="1">
      <c r="B16" s="1391" t="s">
        <v>427</v>
      </c>
      <c r="C16" s="1394">
        <v>0.3</v>
      </c>
      <c r="D16" s="1394">
        <v>0.3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Kowshik</dc:creator>
  <cp:keywords/>
  <dc:description/>
  <cp:lastModifiedBy>admin</cp:lastModifiedBy>
  <cp:lastPrinted>2020-03-15T07:35:36Z</cp:lastPrinted>
  <dcterms:created xsi:type="dcterms:W3CDTF">1996-10-14T23:33:28Z</dcterms:created>
  <dcterms:modified xsi:type="dcterms:W3CDTF">2021-12-30T15:10:58Z</dcterms:modified>
  <cp:category/>
  <cp:version/>
  <cp:contentType/>
  <cp:contentStatus/>
</cp:coreProperties>
</file>