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T-STATEMENT-2017-2018" sheetId="1" r:id="rId1"/>
    <sheet name="FORM 16 -2017-2018" sheetId="2" r:id="rId2"/>
    <sheet name="PART FORM 16" sheetId="3" r:id="rId3"/>
    <sheet name="IT-STATEMENT - P&amp;C" sheetId="4" r:id="rId4"/>
    <sheet name="RENT RECEIPT" sheetId="5" r:id="rId5"/>
  </sheets>
  <externalReferences>
    <externalReference r:id="rId8"/>
    <externalReference r:id="rId9"/>
  </externalReferences>
  <definedNames>
    <definedName name="_xlnm.Print_Area" localSheetId="1">'FORM 16 -2017-2018'!$A$1:$I$47,'FORM 16 -2017-2018'!$J$48:$R$92</definedName>
    <definedName name="_xlnm.Print_Area" localSheetId="3">'IT-STATEMENT - P&amp;C'!$F$1:$U$40,'IT-STATEMENT - P&amp;C'!$G$42:$U$97</definedName>
    <definedName name="_xlnm.Print_Area" localSheetId="0">'IT-STATEMENT-2017-2018'!$F$1:$V$60</definedName>
    <definedName name="_xlnm.Print_Area" localSheetId="2">'PART FORM 16'!$A$1:$I$55</definedName>
    <definedName name="_xlnm.Print_Area" localSheetId="4">'RENT RECEIPT'!$A$7:$J$34</definedName>
    <definedName name="_xlnm.Print_Titles" localSheetId="0">'IT-STATEMENT-2017-2018'!$3:$4</definedName>
  </definedNames>
  <calcPr fullCalcOnLoad="1"/>
</workbook>
</file>

<file path=xl/comments1.xml><?xml version="1.0" encoding="utf-8"?>
<comments xmlns="http://schemas.openxmlformats.org/spreadsheetml/2006/main">
  <authors>
    <author>Kowshik</author>
  </authors>
  <commentList>
    <comment ref="H38" authorId="0">
      <text>
        <r>
          <rPr>
            <b/>
            <sz val="8"/>
            <rFont val="Tahoma"/>
            <family val="0"/>
          </rPr>
          <t>Kowsh   LIMITED TO 25000/-</t>
        </r>
      </text>
    </comment>
    <comment ref="H36" authorId="0">
      <text>
        <r>
          <rPr>
            <b/>
            <sz val="8"/>
            <rFont val="Tahoma"/>
            <family val="0"/>
          </rPr>
          <t>Kowshik:  LIMITED TO 20OOOO/-</t>
        </r>
      </text>
    </comment>
  </commentList>
</comments>
</file>

<file path=xl/comments4.xml><?xml version="1.0" encoding="utf-8"?>
<comments xmlns="http://schemas.openxmlformats.org/spreadsheetml/2006/main">
  <authors>
    <author>HOME</author>
    <author>Kowshik</author>
  </authors>
  <commentList>
    <comment ref="U46" authorId="0">
      <text>
        <r>
          <rPr>
            <sz val="8"/>
            <rFont val="Tahoma"/>
            <family val="2"/>
          </rPr>
          <t xml:space="preserve">Enter Amount of House Rent or Make it "0" if Your in Own House 
</t>
        </r>
      </text>
    </comment>
    <comment ref="H198" authorId="1">
      <text>
        <r>
          <rPr>
            <b/>
            <sz val="8"/>
            <rFont val="Tahoma"/>
            <family val="2"/>
          </rPr>
          <t>Kowshik:  LIMITED TO 20OOOO/-</t>
        </r>
      </text>
    </comment>
    <comment ref="H200" authorId="1">
      <text>
        <r>
          <rPr>
            <b/>
            <sz val="8"/>
            <rFont val="Tahoma"/>
            <family val="2"/>
          </rPr>
          <t>Kowsh   LIMITED TO 25000/-</t>
        </r>
      </text>
    </comment>
  </commentList>
</comments>
</file>

<file path=xl/sharedStrings.xml><?xml version="1.0" encoding="utf-8"?>
<sst xmlns="http://schemas.openxmlformats.org/spreadsheetml/2006/main" count="902" uniqueCount="407">
  <si>
    <t>NAME</t>
  </si>
  <si>
    <t>SECTION</t>
  </si>
  <si>
    <t>G.PAY</t>
  </si>
  <si>
    <t>TOTAL</t>
  </si>
  <si>
    <t>PT</t>
  </si>
  <si>
    <t>LIC</t>
  </si>
  <si>
    <t>M</t>
  </si>
  <si>
    <t>DESIGNATION</t>
  </si>
  <si>
    <t>W</t>
  </si>
  <si>
    <t>NAME:</t>
  </si>
  <si>
    <t>M / W</t>
  </si>
  <si>
    <t>DESIG.:</t>
  </si>
  <si>
    <t xml:space="preserve">SECT. : </t>
  </si>
  <si>
    <t>INCREMENT AMOUNT</t>
  </si>
  <si>
    <t>Month</t>
  </si>
  <si>
    <t>Basic Pay</t>
  </si>
  <si>
    <t>D.A.</t>
  </si>
  <si>
    <t>H.R.A.</t>
  </si>
  <si>
    <t>C.C.A.</t>
  </si>
  <si>
    <t>Total</t>
  </si>
  <si>
    <t xml:space="preserve">GPF </t>
  </si>
  <si>
    <t xml:space="preserve">SPF &amp; </t>
  </si>
  <si>
    <t>PLI</t>
  </si>
  <si>
    <t>H.B.A.</t>
  </si>
  <si>
    <t>P.T.</t>
  </si>
  <si>
    <t xml:space="preserve">IT SO FOR </t>
  </si>
  <si>
    <t>INCREMENT MONTH</t>
  </si>
  <si>
    <t>Sub.</t>
  </si>
  <si>
    <t>SPFG</t>
  </si>
  <si>
    <t>REC.</t>
  </si>
  <si>
    <t>SLS</t>
  </si>
  <si>
    <t>BONUS</t>
  </si>
  <si>
    <t>D.W.</t>
  </si>
  <si>
    <t xml:space="preserve">SAVINGS  (  80-C  ) </t>
  </si>
  <si>
    <t>TOTAL SALARY INCOME</t>
  </si>
  <si>
    <t>LESS H.R.A.RELIEF</t>
  </si>
  <si>
    <t>( - )</t>
  </si>
  <si>
    <t>:</t>
  </si>
  <si>
    <t>INTEREST ON H.B.A.</t>
  </si>
  <si>
    <t>80-D MEDICIAL INSURANCE</t>
  </si>
  <si>
    <t xml:space="preserve"> GROSS TOTAL INCOME</t>
  </si>
  <si>
    <t>LIMITED TO ONE LAKH</t>
  </si>
  <si>
    <t>SAVINGS TOTAL</t>
  </si>
  <si>
    <t xml:space="preserve"> M</t>
  </si>
  <si>
    <t>TAXABLE INCOME</t>
  </si>
  <si>
    <t>TAXABLE INCOME ROUNDED OFF</t>
  </si>
  <si>
    <t>INCOME TAX AMOUNT</t>
  </si>
  <si>
    <t xml:space="preserve">TOTAL IT </t>
  </si>
  <si>
    <t>IT RECOVERED</t>
  </si>
  <si>
    <t>BALANCE</t>
  </si>
  <si>
    <t>TOTAL IT PLUS CESS PAYABLE</t>
  </si>
  <si>
    <t xml:space="preserve">SIGNATURE </t>
  </si>
  <si>
    <t>DA %</t>
  </si>
  <si>
    <t>PAN NO. OF THE EMPLOYEE</t>
  </si>
  <si>
    <t>TOTAL IT.</t>
  </si>
  <si>
    <t>THE  ABOVE STATEMENT WILL BE ACCEPTED ONLY IF THE ATTESTED COPIES OF THE MEDICLAIM POLICY, H.B.A.INTEREST, L.I.C. PPF, NSC, ICICI,</t>
  </si>
  <si>
    <r>
      <t>IDBI AND TUTION FEES  ARE ENCLOSED AND THE</t>
    </r>
    <r>
      <rPr>
        <b/>
        <sz val="9"/>
        <rFont val="Arial"/>
        <family val="2"/>
      </rPr>
      <t xml:space="preserve"> PAN No. ALSO SHOULD BE GIVEN.</t>
    </r>
  </si>
  <si>
    <t>IT RECOVERED IN OTHER CIRCLE/DIV.</t>
  </si>
  <si>
    <t xml:space="preserve">CIRCLE /DIV. </t>
  </si>
  <si>
    <t>AMOUNT</t>
  </si>
  <si>
    <t>MONTH &amp; YEAR</t>
  </si>
  <si>
    <t>IT REFUND TO THE INDIVIDUAL</t>
  </si>
  <si>
    <t>IT TOTAL AMOUNT</t>
  </si>
  <si>
    <t>REFUND</t>
  </si>
  <si>
    <t>MON/YEAR</t>
  </si>
  <si>
    <t>INCREMENT CAL.</t>
  </si>
  <si>
    <t>DA</t>
  </si>
  <si>
    <t>DIFF.</t>
  </si>
  <si>
    <t>TOTAL D.A.</t>
  </si>
  <si>
    <t>OFFICER</t>
  </si>
  <si>
    <t>STAFF</t>
  </si>
  <si>
    <t>O</t>
  </si>
  <si>
    <t>GRADE PAY</t>
  </si>
  <si>
    <t>S</t>
  </si>
  <si>
    <t>GPF Subscription</t>
  </si>
  <si>
    <t>FSFS/SPF/SPFG2000</t>
  </si>
  <si>
    <t>PPF Subscription</t>
  </si>
  <si>
    <t>PLI Subscription</t>
  </si>
  <si>
    <t>LIC Subscription</t>
  </si>
  <si>
    <t>Tution Fees</t>
  </si>
  <si>
    <t>ICICI Prudential</t>
  </si>
  <si>
    <t>Refund of loan for H.B.A.</t>
  </si>
  <si>
    <t>INFRASTRUCTURE BOND</t>
  </si>
  <si>
    <t>9 (a)</t>
  </si>
  <si>
    <t>IT RECOVERED IN OTHER CIRCLE/ DIV.</t>
  </si>
  <si>
    <t>PAY</t>
  </si>
  <si>
    <t>Rs.</t>
  </si>
  <si>
    <t>D.PAY</t>
  </si>
  <si>
    <t>HRA</t>
  </si>
  <si>
    <t>CCA</t>
  </si>
  <si>
    <t>OTHER</t>
  </si>
  <si>
    <t>a</t>
  </si>
  <si>
    <t>HOUSE RENT PAID</t>
  </si>
  <si>
    <t>b</t>
  </si>
  <si>
    <t>SALARY (PAY+GP+DA)</t>
  </si>
  <si>
    <t>c</t>
  </si>
  <si>
    <t>1/10'TH OF SALARY</t>
  </si>
  <si>
    <t>(a-c)</t>
  </si>
  <si>
    <t xml:space="preserve"> I)   I certify that I am residing in rented house</t>
  </si>
  <si>
    <t xml:space="preserve">  1. RENT PAID IN EXCESS of 1/10' TH  OF SALARY</t>
  </si>
  <si>
    <t xml:space="preserve">  2. HOUSE ALLOWANCE RECEIVED</t>
  </si>
  <si>
    <t xml:space="preserve">  3. 50% OF SALARY IF ACCOMMODATION IN CHENNAI.</t>
  </si>
  <si>
    <t>RELIEF OF HRA FOR THE YEAR ( LOWEST OF 1,2 &amp; 3 ABOVE )</t>
  </si>
  <si>
    <t>ADDL.CHARGE</t>
  </si>
  <si>
    <r>
      <t>FORM No.16</t>
    </r>
    <r>
      <rPr>
        <b/>
        <u val="single"/>
        <sz val="11"/>
        <rFont val="Tahoma"/>
        <family val="2"/>
      </rPr>
      <t xml:space="preserve">
</t>
    </r>
    <r>
      <rPr>
        <b/>
        <sz val="10"/>
        <rFont val="Tahoma"/>
        <family val="2"/>
      </rPr>
      <t>[See rule 31(1)(a) of the
Income Tax Rules, 1962]</t>
    </r>
  </si>
  <si>
    <t>Certificate under section 203 of the Income Tax Act, 1961 for tax deducted at source from Income Chargeable under the Head "Salaries".</t>
  </si>
  <si>
    <t>Name &amp; Address of the Employer</t>
  </si>
  <si>
    <t>Name &amp; Designation of the Employee</t>
  </si>
  <si>
    <t>SUPERINTENDING ENGINEER</t>
  </si>
  <si>
    <t>CEDC/CENTRAL/CHENNAI-34.</t>
  </si>
  <si>
    <t>PAN Number
of the Deductor</t>
  </si>
  <si>
    <t>TAN No.
of the Deductor</t>
  </si>
  <si>
    <t>PAN No. of the Employee</t>
  </si>
  <si>
    <t>Acknowledgement Nos. of all Quarterly Statement of TDS under sub-section (3) of Section 200 as provided by TIN Facilitation Centre or NSDL web-site.</t>
  </si>
  <si>
    <t>PERIOD</t>
  </si>
  <si>
    <t>ASSESSMENT YEAR</t>
  </si>
  <si>
    <t>Quarter</t>
  </si>
  <si>
    <t>Acknowledgement No.</t>
  </si>
  <si>
    <t>FROM</t>
  </si>
  <si>
    <t>TO</t>
  </si>
  <si>
    <t>I</t>
  </si>
  <si>
    <t>II</t>
  </si>
  <si>
    <t>III</t>
  </si>
  <si>
    <t>IV</t>
  </si>
  <si>
    <t>DETAILS OF SALARY PAID AND ANY OTHER INCOME AND TAX DEDUCTED</t>
  </si>
  <si>
    <t>1.</t>
  </si>
  <si>
    <t>Gross Salary</t>
  </si>
  <si>
    <t>[a]</t>
  </si>
  <si>
    <t>Salary as per provisions contained in Section 17(1)</t>
  </si>
  <si>
    <t>[b]</t>
  </si>
  <si>
    <t>Value of perquisites under Section 17(2) (as per Form No.12BA, wherever applicable</t>
  </si>
  <si>
    <t>[c]</t>
  </si>
  <si>
    <t>Profits in lieu of Salary under section 17(3) (as per Form No.12BA, wherever applicable)</t>
  </si>
  <si>
    <t>[d]</t>
  </si>
  <si>
    <t>2.</t>
  </si>
  <si>
    <r>
      <t>Less</t>
    </r>
    <r>
      <rPr>
        <sz val="10"/>
        <rFont val="Tahoma"/>
        <family val="2"/>
      </rPr>
      <t xml:space="preserve">: Allowance to the extent exempt
</t>
    </r>
    <r>
      <rPr>
        <sz val="10"/>
        <color indexed="9"/>
        <rFont val="Tahoma"/>
        <family val="2"/>
      </rPr>
      <t>Less:</t>
    </r>
    <r>
      <rPr>
        <sz val="10"/>
        <rFont val="Tahoma"/>
        <family val="2"/>
      </rPr>
      <t xml:space="preserve"> under section 10</t>
    </r>
  </si>
  <si>
    <t>3.</t>
  </si>
  <si>
    <t>Balance (1-2)</t>
  </si>
  <si>
    <t>4.</t>
  </si>
  <si>
    <t>5.</t>
  </si>
  <si>
    <t>Aggregate of 4(a) and (b)</t>
  </si>
  <si>
    <t>6.</t>
  </si>
  <si>
    <t>Income chargeable under the head 
Salaries (3-5)</t>
  </si>
  <si>
    <t>7.</t>
  </si>
  <si>
    <r>
      <t>Add</t>
    </r>
    <r>
      <rPr>
        <sz val="10"/>
        <rFont val="Tahoma"/>
        <family val="2"/>
      </rPr>
      <t xml:space="preserve">: Any other income reported by
</t>
    </r>
    <r>
      <rPr>
        <sz val="10"/>
        <color indexed="9"/>
        <rFont val="Tahoma"/>
        <family val="2"/>
      </rPr>
      <t>Add:</t>
    </r>
    <r>
      <rPr>
        <sz val="10"/>
        <rFont val="Tahoma"/>
        <family val="2"/>
      </rPr>
      <t xml:space="preserve"> the Employee</t>
    </r>
  </si>
  <si>
    <t>8.</t>
  </si>
  <si>
    <t>Gross Total Income (6 + 7)</t>
  </si>
  <si>
    <t>9.</t>
  </si>
  <si>
    <t>Deductions under Chapter VI-A</t>
  </si>
  <si>
    <t>Gross Amount
(Rs.)</t>
  </si>
  <si>
    <t>Deductible Amount
(Rs.)</t>
  </si>
  <si>
    <t>(A)</t>
  </si>
  <si>
    <t>Section 80C, 80CCC and 80CCD</t>
  </si>
  <si>
    <t>Section 80C</t>
  </si>
  <si>
    <t>Section 80CCC</t>
  </si>
  <si>
    <t>Section 80CCD</t>
  </si>
  <si>
    <r>
      <t xml:space="preserve">Note: 1. Aggregate amount deductible under section 80C shall not exceed one lakh rupees.
</t>
    </r>
    <r>
      <rPr>
        <b/>
        <sz val="7.5"/>
        <color indexed="9"/>
        <rFont val="Tahoma"/>
        <family val="2"/>
      </rPr>
      <t>Note:</t>
    </r>
    <r>
      <rPr>
        <b/>
        <sz val="7.5"/>
        <rFont val="Tahoma"/>
        <family val="2"/>
      </rPr>
      <t xml:space="preserve"> 2. Aggregate amount deductible under the three sections, i.e., 80C, 80CCC and 80CCD, shall not exceed one lakh rupee.</t>
    </r>
  </si>
  <si>
    <t>(B)</t>
  </si>
  <si>
    <t>Other sections (e.g., 80E, 80G, etc.)</t>
  </si>
  <si>
    <t>Gross
Amount
(Rs.)</t>
  </si>
  <si>
    <t>Qualifying
Amount
(Rs.)</t>
  </si>
  <si>
    <t>Deductible
Amount
(Rs.)</t>
  </si>
  <si>
    <t>Under Chapter VI-A</t>
  </si>
  <si>
    <t xml:space="preserve">Section </t>
  </si>
  <si>
    <t>Section</t>
  </si>
  <si>
    <t>[e]</t>
  </si>
  <si>
    <t>10.</t>
  </si>
  <si>
    <t>Aggregate of deductible amount under chapter VI-A</t>
  </si>
  <si>
    <t>11.</t>
  </si>
  <si>
    <r>
      <t>Total Income</t>
    </r>
    <r>
      <rPr>
        <sz val="10"/>
        <rFont val="Tahoma"/>
        <family val="2"/>
      </rPr>
      <t xml:space="preserve"> (8-10)</t>
    </r>
  </si>
  <si>
    <t>12.</t>
  </si>
  <si>
    <t>Tax on Total Income</t>
  </si>
  <si>
    <t>13.</t>
  </si>
  <si>
    <t>Surcharge (on tax computed at S.No.12)</t>
  </si>
  <si>
    <t>14.</t>
  </si>
  <si>
    <t>Education Cess (a) 3% on (tax at S.No.12</t>
  </si>
  <si>
    <t>plus surcharge at S.No.13)</t>
  </si>
  <si>
    <t>15.</t>
  </si>
  <si>
    <t>Tax Payable (12 + 13 + 14)</t>
  </si>
  <si>
    <t>16.</t>
  </si>
  <si>
    <t xml:space="preserve">Relief under Section 89 (attach details) </t>
  </si>
  <si>
    <t>17.</t>
  </si>
  <si>
    <t>Tax Payable (15 - 16)</t>
  </si>
  <si>
    <t>18.</t>
  </si>
  <si>
    <r>
      <t>Less</t>
    </r>
    <r>
      <rPr>
        <sz val="10"/>
        <rFont val="Tahoma"/>
        <family val="2"/>
      </rPr>
      <t>: (a) Tax Deduction at Source u/s 192(1)</t>
    </r>
  </si>
  <si>
    <r>
      <t>Less:</t>
    </r>
    <r>
      <rPr>
        <sz val="10"/>
        <rFont val="Tahoma"/>
        <family val="2"/>
      </rPr>
      <t xml:space="preserve"> (b) Tax paid by the employer on behalf of the</t>
    </r>
  </si>
  <si>
    <r>
      <t>Less: (a)</t>
    </r>
    <r>
      <rPr>
        <sz val="10"/>
        <rFont val="Tahoma"/>
        <family val="2"/>
      </rPr>
      <t xml:space="preserve"> Employee u/s 192(1A) on perquisites u/s 17/2 </t>
    </r>
  </si>
  <si>
    <t>19.</t>
  </si>
  <si>
    <t>Tax Payable / Refundable (17 - 18)</t>
  </si>
  <si>
    <t>DETAILS OF TAX DEDUCTED AND DEPOSITED INTO CENTRAL GOVERNMENT ACCOUNT</t>
  </si>
  <si>
    <t>(The Employer is to provide transaction-wise details of tax deducted and deposited)</t>
  </si>
  <si>
    <t>MONTH</t>
  </si>
  <si>
    <t>TDS
(Rs.)</t>
  </si>
  <si>
    <t>Surcharge
(Rs.)</t>
  </si>
  <si>
    <t>Education Cess
(Rs.)</t>
  </si>
  <si>
    <t>Total Tax Deposited
(Rs.)</t>
  </si>
  <si>
    <t>Cheque/ 
DD No.
(if any)</t>
  </si>
  <si>
    <t>BSR Code 
of Bank Branch</t>
  </si>
  <si>
    <t>Date on which tax Deposited
(dd/mm/yy)</t>
  </si>
  <si>
    <t>Transfer Voucher/ Challan Identification 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</si>
  <si>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</si>
  <si>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</si>
  <si>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</si>
  <si>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</si>
  <si>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</si>
  <si>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</si>
  <si>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</si>
  <si>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</si>
  <si>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</si>
  <si>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</si>
  <si>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</si>
  <si>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</si>
  <si>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CASH</t>
  </si>
  <si>
    <t>AAO NAME</t>
  </si>
  <si>
    <t>AAO FATHER NAME</t>
  </si>
  <si>
    <t>Signature of the person responsible for deduction of tax</t>
  </si>
  <si>
    <t>Place</t>
  </si>
  <si>
    <t xml:space="preserve"> :  Chennai -34.</t>
  </si>
  <si>
    <t>Date</t>
  </si>
  <si>
    <t>Designation ASST.ADM.OFFICER</t>
  </si>
  <si>
    <t>TOTAL IT</t>
  </si>
  <si>
    <t>RECOVERED AMOUNT</t>
  </si>
  <si>
    <t>E-PAYMENT AMOUNT</t>
  </si>
  <si>
    <t>H.B.A. interest</t>
  </si>
  <si>
    <t>MEDICIAL INSURANCE -80 D</t>
  </si>
  <si>
    <t>Tech.Education Interest &amp; HIS</t>
  </si>
  <si>
    <t>SE/NAME</t>
  </si>
  <si>
    <t>500001  TO 1000000  20%</t>
  </si>
  <si>
    <t>ABOVE 1000000         30%</t>
  </si>
  <si>
    <t>500001  TO 1000000   20%</t>
  </si>
  <si>
    <t>TECH.EDUCATION INTEREST</t>
  </si>
  <si>
    <t>TAX REBART ( SEC.87-A)</t>
  </si>
  <si>
    <t>N49</t>
  </si>
  <si>
    <t>ii)   I certify that I have actually paid the rent as shown in income tax  calculation for the year 2013 - 2014.</t>
  </si>
  <si>
    <t>I certify that I am residing in rented house</t>
  </si>
  <si>
    <t>YES  OR  NO</t>
  </si>
  <si>
    <t>Y</t>
  </si>
  <si>
    <t>N</t>
  </si>
  <si>
    <t>iii)  I certify that the particulars given in support of income tax calculation for 2013-14 are correct and true  to the best of my knowledge.</t>
  </si>
  <si>
    <t>INDIVIDUAL</t>
  </si>
  <si>
    <t>UPTO RS.250000/= (   NIL  )</t>
  </si>
  <si>
    <t>E.L. ENCASHMENT</t>
  </si>
  <si>
    <t>LEAVE ON P.A.</t>
  </si>
  <si>
    <t>UP TO 300000/- NIL</t>
  </si>
  <si>
    <t>OTHER CIRCLE REC.</t>
  </si>
  <si>
    <t>TAMIL NADU ELECTRICITY BOARD</t>
  </si>
  <si>
    <t>(The deductor to provide payment wise details of tax deducted and deposited with respect to the deductee)</t>
  </si>
  <si>
    <t>SL.NO.</t>
  </si>
  <si>
    <t>Tax Deposited in respect of the deductee(Rs.)</t>
  </si>
  <si>
    <t>Challan Identification Number(CIN)</t>
  </si>
  <si>
    <t>BSR Code of the Bank Branch</t>
  </si>
  <si>
    <t>Date on which tax deposited (dd/mm/yyyy)</t>
  </si>
  <si>
    <t>Challan Serial Number</t>
  </si>
  <si>
    <t>Status of matching with OLTAS</t>
  </si>
  <si>
    <t>7.8.2014</t>
  </si>
  <si>
    <t>TOTAL(Rs.)</t>
  </si>
  <si>
    <t>Designation ADM.OFFICER</t>
  </si>
  <si>
    <t>Notes:</t>
  </si>
  <si>
    <r>
      <t xml:space="preserve">    1.</t>
    </r>
    <r>
      <rPr>
        <sz val="9"/>
        <rFont val="Tahoma"/>
        <family val="2"/>
      </rPr>
      <t xml:space="preserve"> Government deductors to fill information in item I if tax is paid without production of an income-tax challan and in item II.</t>
    </r>
  </si>
  <si>
    <t xml:space="preserve">         if tax is paid accompanied by an income-tax challan.</t>
  </si>
  <si>
    <t xml:space="preserve">    2.  Non-Government deductors to fill information in item II. </t>
  </si>
  <si>
    <r>
      <t xml:space="preserve">   </t>
    </r>
    <r>
      <rPr>
        <sz val="9"/>
        <rFont val="Tahoma"/>
        <family val="2"/>
      </rPr>
      <t xml:space="preserve"> 3.  The deductor shall furnish the address of the Commissioner of income-tax(TDS) having jurisdiction as regards TDS statements</t>
    </r>
  </si>
  <si>
    <r>
      <t xml:space="preserve">       </t>
    </r>
    <r>
      <rPr>
        <sz val="9"/>
        <rFont val="Tahoma"/>
        <family val="2"/>
      </rPr>
      <t xml:space="preserve">  of the assessee. </t>
    </r>
  </si>
  <si>
    <t xml:space="preserve">    4. If an assessee is employed under one employer only during the year, certificate in Form No.16 issued for the quarter ending </t>
  </si>
  <si>
    <t xml:space="preserve">        on 31 st march  of the financial year shall contain the details of tax deducted and deposited for all the quarters of the financial year.</t>
  </si>
  <si>
    <t xml:space="preserve">     5. If an assessee is employed under more than one employer during the year each of the employers shall issue Part A of the certificate </t>
  </si>
  <si>
    <t xml:space="preserve">         in Form No.16 pertaining to the period for which such assessee was employed with each of the employers.  Part B (Annexure) of </t>
  </si>
  <si>
    <t xml:space="preserve">         the certificate in Form No.16 may be issued by each of the employers or the last employer at the option of the assessee.</t>
  </si>
  <si>
    <t xml:space="preserve">     6. In items I and  II, in column for tax deposited in respect of deductee, furnish total amount of TDS and education cess.</t>
  </si>
  <si>
    <t>AADCT4784E</t>
  </si>
  <si>
    <t>CHET11942A</t>
  </si>
  <si>
    <t>IT-AMOUNT</t>
  </si>
  <si>
    <t>OTHERS</t>
  </si>
  <si>
    <t>DEDUCT PROFESSIONAL TAX/ HIS</t>
  </si>
  <si>
    <t>PVT.LIC</t>
  </si>
  <si>
    <t>Deductions:  a) Tax on Employment &amp; HIS</t>
  </si>
  <si>
    <t>LIMITED TO 1.5 LAKH</t>
  </si>
  <si>
    <t>HBA PRINCIPAL AMT RS 150000/-</t>
  </si>
  <si>
    <t>HBA INTEREST AMT RS.200000/-</t>
  </si>
  <si>
    <t>80 DD SIVERE DISABILITY MAX AMT RS.125000/-</t>
  </si>
  <si>
    <t>80 D MEDICAL INSURANCE MAX AMT.RS. 25000/-</t>
  </si>
  <si>
    <t>TECH EDU. INT AMOUNT UNLIMITED</t>
  </si>
  <si>
    <t>TUTION FEES PER CHILD RS.12000/- ELIGIBLE ( MAXIMUM 2 CHILD)</t>
  </si>
  <si>
    <t>2017 SLS</t>
  </si>
  <si>
    <t xml:space="preserve">ONE DAY SALARY </t>
  </si>
  <si>
    <t>ONE DAY SALARY</t>
  </si>
  <si>
    <t>ER.A.N.MURUGADASAN,B.E.,</t>
  </si>
  <si>
    <t>P.KOWSHIK</t>
  </si>
  <si>
    <t>K.PUSHPAVANAM</t>
  </si>
  <si>
    <t xml:space="preserve"> :  Chennai -  .</t>
  </si>
  <si>
    <t>ABOVE 1000000           30%</t>
  </si>
  <si>
    <t>EDUCATION CESS AT 3%     ( + )</t>
  </si>
  <si>
    <t>INCOME TAX FOR THE YEAR 2017-2018</t>
  </si>
  <si>
    <t>1.3.2017 PAY</t>
  </si>
  <si>
    <t>2017 INC.PAY</t>
  </si>
  <si>
    <t>2018 SLS</t>
  </si>
  <si>
    <t>D.A.ARRS.FOR THE PERIOD FROM 1/2017 TO 2/2018</t>
  </si>
  <si>
    <t xml:space="preserve">     I CERTIFY THAT THE PARTICULARS GIVEN IN SUPORT OF INCOME TAX CALCULATION FOR 2017-2018 ARE CORRECT AND TRUE TO THE BEST OF MY KNOWLEDGE.</t>
  </si>
  <si>
    <t>RETIRED STAFF FROM  1.3.2017 TO 28.2.2018</t>
  </si>
  <si>
    <t>250001  TO  500000  5%</t>
  </si>
  <si>
    <t>04/2017</t>
  </si>
  <si>
    <t>07/2017</t>
  </si>
  <si>
    <t>10/2017</t>
  </si>
  <si>
    <t>06/2017</t>
  </si>
  <si>
    <t>09/2017</t>
  </si>
  <si>
    <t>12/2017</t>
  </si>
  <si>
    <t>12.04.2018</t>
  </si>
  <si>
    <t>-NIL-</t>
  </si>
  <si>
    <t>01/2018</t>
  </si>
  <si>
    <t>03/2018</t>
  </si>
  <si>
    <t>2018-2019</t>
  </si>
  <si>
    <t>EXECUTIVE ENGINEER</t>
  </si>
  <si>
    <t>O&amp;M/EGMORE/CHENNAI-12.</t>
  </si>
  <si>
    <t>EE/NAME</t>
  </si>
  <si>
    <t>06.05.2016</t>
  </si>
  <si>
    <t>07.06.2016</t>
  </si>
  <si>
    <t>12.07.2016</t>
  </si>
  <si>
    <t>09.08.2016</t>
  </si>
  <si>
    <t>07.09.2016</t>
  </si>
  <si>
    <t>07.10.2016</t>
  </si>
  <si>
    <t>05.11.2016</t>
  </si>
  <si>
    <t>07.12.2016</t>
  </si>
  <si>
    <t>07.01.2017</t>
  </si>
  <si>
    <t>07.02.2017</t>
  </si>
  <si>
    <t>07.03.2017</t>
  </si>
  <si>
    <t>CHET12067G</t>
  </si>
  <si>
    <t>2017-2018</t>
  </si>
  <si>
    <t>(01.04.2017 to 31.03.2018)</t>
  </si>
  <si>
    <t>RELIEF OF HRA FOR THE YEAR 3/2017 - 2/2018</t>
  </si>
  <si>
    <t>PER MONTH RENT PAID</t>
  </si>
  <si>
    <t>RELIEF OF  H.R.A.</t>
  </si>
  <si>
    <t>R E N T   R E C E I P T</t>
  </si>
  <si>
    <t>CHENNAI-</t>
  </si>
  <si>
    <t>SIGNATURE</t>
  </si>
  <si>
    <t>DATE</t>
  </si>
  <si>
    <t>TAMIL NADU TRANSMISSION CORPORATION LIMITED</t>
  </si>
  <si>
    <t>REC.UP TO</t>
  </si>
  <si>
    <t>P.KOWSHIK,AAO/ADM/EGMORE/CEDC/CENTRAL</t>
  </si>
  <si>
    <t>OTHER CIRCLE RECOVERY</t>
  </si>
  <si>
    <t>D.A.ARRS.FOR THE PERIOD FROM 1/2016 TO 2/2016</t>
  </si>
  <si>
    <r>
      <rPr>
        <b/>
        <sz val="9"/>
        <color indexed="9"/>
        <rFont val="Tahoma"/>
        <family val="2"/>
      </rPr>
      <t>ii</t>
    </r>
    <r>
      <rPr>
        <b/>
        <sz val="9"/>
        <rFont val="Tahoma"/>
        <family val="2"/>
      </rPr>
      <t>i. I certify that I am residing in own house.</t>
    </r>
  </si>
  <si>
    <t>TOTAL INCOME TAX</t>
  </si>
  <si>
    <t>Signature &amp; Date :</t>
  </si>
  <si>
    <t>BALANCE TO PAID</t>
  </si>
  <si>
    <t>Designation         :</t>
  </si>
  <si>
    <t>Name            :</t>
  </si>
  <si>
    <t>Designation  :</t>
  </si>
  <si>
    <t>House Rent Paid</t>
  </si>
  <si>
    <t>G. Pay</t>
  </si>
  <si>
    <t>Salary (Pay + D.A.)</t>
  </si>
  <si>
    <t>1/10th  of Salary</t>
  </si>
  <si>
    <t>1. Rent Paid in excess of   1/10th of Salary</t>
  </si>
  <si>
    <t>2. House Rent Allowance  received</t>
  </si>
  <si>
    <t>Others</t>
  </si>
  <si>
    <t>3. 50% of Salary if  accommmodation is in
    Chennai</t>
  </si>
  <si>
    <t>GROSS</t>
  </si>
  <si>
    <t>(vide statement overleaf)</t>
  </si>
  <si>
    <t xml:space="preserve">1. Subscription to Provident Fund  </t>
  </si>
  <si>
    <t xml:space="preserve">2. F.S.F.S. and S.P.F.     </t>
  </si>
  <si>
    <t>3. Subscription to P.P.F. (Max.Rs.70,000/-)</t>
  </si>
  <si>
    <t>4. Premium paid to L.I.C.</t>
  </si>
  <si>
    <t>5. Equity Linked Savings Scheme (ELSS)</t>
  </si>
  <si>
    <t>6. Premium paid to P.L.I.</t>
  </si>
  <si>
    <t xml:space="preserve">7. Subscription to U.L.I.P.   </t>
  </si>
  <si>
    <t>8. Private L.I.C.</t>
  </si>
  <si>
    <t xml:space="preserve">9. Tution Fees Paid (Max. 2 Children)  </t>
  </si>
  <si>
    <t xml:space="preserve">10. Refund of Loan taken for the construction of  House  </t>
  </si>
  <si>
    <t xml:space="preserve">11. Pension Scheme of LIC or any other Insurance Co. (Max. Rs.10,000)  </t>
  </si>
  <si>
    <t>12. H.B.A.</t>
  </si>
  <si>
    <t>COMPUTATION OF TOTAL INCOME :</t>
  </si>
  <si>
    <t>1. GROSS SALARY INCLUDING ALLOWANCE  :</t>
  </si>
  <si>
    <t>3. PROFESSION TAX</t>
  </si>
  <si>
    <t xml:space="preserve">4. H.B.A.  INTEREST  ACCRUAL ( MAX. Rs.200000/-) </t>
  </si>
  <si>
    <t>GROSS INCOME</t>
  </si>
  <si>
    <t>TOTAL TAXABLE INCOME</t>
  </si>
  <si>
    <t>DEDUCT: SAVINGS U/S 80 C  AND 80  CCC(1)</t>
  </si>
  <si>
    <t>Deduct:u/s 80CCG (FIRST TIME SHARE INVESTOR)</t>
  </si>
  <si>
    <t>Deduct:Savings u/s 80D (Health Insurance Policy like Mediclaim, Star Health Insurance - Max. Rs.25000/-)</t>
  </si>
  <si>
    <t xml:space="preserve">Deduct:Repayment of Interest on Loan taken for Higher Education for his / her, spouse, children. - U/s.80E  </t>
  </si>
  <si>
    <t xml:space="preserve">Nett. Taxable Income          </t>
  </si>
  <si>
    <t xml:space="preserve">Upto Rs 2,50,000 Nil </t>
  </si>
  <si>
    <t>NIL</t>
  </si>
  <si>
    <t>Rs. 2,50,001 to 5,00,000    10%</t>
  </si>
  <si>
    <t>%</t>
  </si>
  <si>
    <t>Rs. 5,00,001 to 10,00,000   20%</t>
  </si>
  <si>
    <t>Rs. 10,00,001 and above    30%</t>
  </si>
  <si>
    <t xml:space="preserve">Total Tax payable           </t>
  </si>
  <si>
    <r>
      <t>LESS</t>
    </r>
    <r>
      <rPr>
        <b/>
        <sz val="9"/>
        <rFont val="Tahoma"/>
        <family val="2"/>
      </rPr>
      <t xml:space="preserve">: Rebate u/s.87A -     </t>
    </r>
    <r>
      <rPr>
        <b/>
        <sz val="9"/>
        <color indexed="10"/>
        <rFont val="Tahoma"/>
        <family val="2"/>
      </rPr>
      <t xml:space="preserve"> (Rs.5000/- if Taxable Income is &lt; Rs.5,00,000/-)</t>
    </r>
  </si>
  <si>
    <t>Balance Tax</t>
  </si>
  <si>
    <t>E.Cess @ 2% on IT</t>
  </si>
  <si>
    <t>Secondary &amp; Higher E. Cess @ 1% on IT</t>
  </si>
  <si>
    <t xml:space="preserve">Total Tax </t>
  </si>
  <si>
    <t>INCOME TAX OTHER CIRCLE RECOVERY</t>
  </si>
  <si>
    <t xml:space="preserve">Balance Tax </t>
  </si>
  <si>
    <t xml:space="preserve">Tax already recovered     (SE/D/P&amp;C)  </t>
  </si>
  <si>
    <t xml:space="preserve">Balance Tax to be paid </t>
  </si>
  <si>
    <t xml:space="preserve">Designation          :  </t>
  </si>
  <si>
    <t>=VLOOKUP(B4,AW9:AX10,2)</t>
  </si>
  <si>
    <t>=AB212</t>
  </si>
  <si>
    <t xml:space="preserve">     I CERTIFY THAT THE PARTICULARS GIVEN IN SUPORT OF INCOME TAX CALCULATION FOR 2016-2017 ARE CORRECT AND TRUE TO THE BEST OF MY KNOWLEDGE.</t>
  </si>
  <si>
    <r>
      <t>IDBI AND TUTION FEES  ARE ENCLOSED AND THE</t>
    </r>
    <r>
      <rPr>
        <b/>
        <sz val="8"/>
        <rFont val="Arial"/>
        <family val="2"/>
      </rPr>
      <t xml:space="preserve"> PAN No. ALSO SHOULD BE GIVEN.</t>
    </r>
  </si>
  <si>
    <t>RELIEF OF HRA FOR THE YEAR 3/2013 - 2/2014</t>
  </si>
  <si>
    <t>CALCULATION OF INCOME TAX FOR THE YEAR 2017-2018</t>
  </si>
  <si>
    <r>
      <rPr>
        <b/>
        <sz val="9"/>
        <color indexed="9"/>
        <rFont val="Tahoma"/>
        <family val="2"/>
      </rPr>
      <t>i</t>
    </r>
    <r>
      <rPr>
        <b/>
        <sz val="9"/>
        <rFont val="Tahoma"/>
        <family val="2"/>
      </rPr>
      <t>ii. I certify that I have actually paid the rent as shown in the Income Tax calculation for the year 2017-2018 .</t>
    </r>
  </si>
  <si>
    <t xml:space="preserve">iii. I certify that the particulars given in support of Income Tax calculation for the year 2017-2018 
    are correct and true to the best of my knowledge        </t>
  </si>
  <si>
    <t>Relief in HRA for the year 2017-18 (Lowest of 1, 2 &amp; 3 above)</t>
  </si>
  <si>
    <t>2. H.R.A.RELIEF FOR THE YEAR-2017-2018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</si>
</sst>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%"/>
    <numFmt numFmtId="179" formatCode="0.0"/>
    <numFmt numFmtId="180" formatCode="0.000"/>
    <numFmt numFmtId="181" formatCode="[$-409]mmm\-yy;@"/>
    <numFmt numFmtId="182" formatCode="m/d;@"/>
    <numFmt numFmtId="183" formatCode="[$-F800]dddd\,\ mmmm\ dd\,\ yyyy"/>
    <numFmt numFmtId="184" formatCode="[$-14009]dd\ mmmm\ yyyy;@"/>
  </numFmts>
  <fonts count="1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u val="single"/>
      <sz val="18"/>
      <name val="Tahoma"/>
      <family val="2"/>
    </font>
    <font>
      <b/>
      <u val="single"/>
      <sz val="11"/>
      <name val="Tahoma"/>
      <family val="2"/>
    </font>
    <font>
      <b/>
      <u val="single"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10"/>
      <color indexed="9"/>
      <name val="Tahoma"/>
      <family val="2"/>
    </font>
    <font>
      <b/>
      <sz val="7.5"/>
      <name val="Tahoma"/>
      <family val="2"/>
    </font>
    <font>
      <b/>
      <sz val="7.5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name val="Tahoma"/>
      <family val="2"/>
    </font>
    <font>
      <sz val="11"/>
      <color indexed="8"/>
      <name val="Tahoma"/>
      <family val="2"/>
    </font>
    <font>
      <b/>
      <sz val="11"/>
      <color indexed="10"/>
      <name val="Tahoma"/>
      <family val="2"/>
    </font>
    <font>
      <sz val="12"/>
      <name val="Tahoma"/>
      <family val="2"/>
    </font>
    <font>
      <sz val="8"/>
      <color indexed="10"/>
      <name val="Tahoma"/>
      <family val="2"/>
    </font>
    <font>
      <sz val="11"/>
      <color indexed="10"/>
      <name val="Tahoma"/>
      <family val="2"/>
    </font>
    <font>
      <b/>
      <sz val="12"/>
      <color indexed="10"/>
      <name val="Tahoma"/>
      <family val="2"/>
    </font>
    <font>
      <b/>
      <sz val="8"/>
      <name val="Arial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omic Sans MS"/>
      <family val="4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3"/>
      <name val="Arial"/>
      <family val="2"/>
    </font>
    <font>
      <sz val="14"/>
      <color indexed="10"/>
      <name val="Arial"/>
      <family val="0"/>
    </font>
    <font>
      <b/>
      <sz val="12"/>
      <color indexed="14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20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3"/>
      <name val="Arial"/>
      <family val="2"/>
    </font>
    <font>
      <u val="single"/>
      <sz val="18"/>
      <name val="Arial"/>
      <family val="2"/>
    </font>
    <font>
      <sz val="11"/>
      <color indexed="40"/>
      <name val="Tahoma"/>
      <family val="2"/>
    </font>
    <font>
      <b/>
      <sz val="9"/>
      <color indexed="10"/>
      <name val="Tahoma"/>
      <family val="2"/>
    </font>
    <font>
      <sz val="10"/>
      <color indexed="10"/>
      <name val="Tahoma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2"/>
      <name val="Arial Black"/>
      <family val="2"/>
    </font>
    <font>
      <u val="single"/>
      <sz val="12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36"/>
      <name val="Arial"/>
      <family val="2"/>
    </font>
    <font>
      <b/>
      <sz val="10"/>
      <color indexed="17"/>
      <name val="Tahoma"/>
      <family val="2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u val="single"/>
      <sz val="12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7"/>
      <name val="Arial"/>
      <family val="2"/>
    </font>
    <font>
      <b/>
      <u val="single"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Tahoma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Tahoma"/>
      <family val="2"/>
    </font>
    <font>
      <b/>
      <sz val="10"/>
      <color rgb="FFFF0000"/>
      <name val="Tahoma"/>
      <family val="2"/>
    </font>
    <font>
      <b/>
      <u val="single"/>
      <sz val="12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00B050"/>
      <name val="Arial"/>
      <family val="2"/>
    </font>
    <font>
      <b/>
      <sz val="8"/>
      <color rgb="FFFF0000"/>
      <name val="Tahoma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u val="single"/>
      <sz val="9"/>
      <color rgb="FFFF0000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2" fillId="29" borderId="1" applyNumberFormat="0" applyAlignment="0" applyProtection="0"/>
    <xf numFmtId="0" fontId="113" fillId="0" borderId="6" applyNumberFormat="0" applyFill="0" applyAlignment="0" applyProtection="0"/>
    <xf numFmtId="0" fontId="114" fillId="30" borderId="0" applyNumberFormat="0" applyBorder="0" applyAlignment="0" applyProtection="0"/>
    <xf numFmtId="0" fontId="0" fillId="31" borderId="7" applyNumberFormat="0" applyFont="0" applyAlignment="0" applyProtection="0"/>
    <xf numFmtId="0" fontId="115" fillId="26" borderId="8" applyNumberFormat="0" applyAlignment="0" applyProtection="0"/>
    <xf numFmtId="9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1444">
    <xf numFmtId="0" fontId="0" fillId="0" borderId="0" xfId="0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17" fontId="7" fillId="32" borderId="11" xfId="0" applyNumberFormat="1" applyFont="1" applyFill="1" applyBorder="1" applyAlignment="1" quotePrefix="1">
      <alignment horizontal="center"/>
    </xf>
    <xf numFmtId="0" fontId="2" fillId="32" borderId="10" xfId="0" applyNumberFormat="1" applyFont="1" applyFill="1" applyBorder="1" applyAlignment="1">
      <alignment horizontal="right"/>
    </xf>
    <xf numFmtId="0" fontId="2" fillId="32" borderId="12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13" xfId="0" applyBorder="1" applyAlignment="1">
      <alignment/>
    </xf>
    <xf numFmtId="1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2" fillId="0" borderId="1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 quotePrefix="1">
      <alignment horizontal="center"/>
    </xf>
    <xf numFmtId="1" fontId="10" fillId="0" borderId="0" xfId="0" applyNumberFormat="1" applyFont="1" applyAlignment="1" quotePrefix="1">
      <alignment horizontal="center"/>
    </xf>
    <xf numFmtId="2" fontId="10" fillId="0" borderId="10" xfId="0" applyNumberFormat="1" applyFont="1" applyBorder="1" applyAlignment="1">
      <alignment horizontal="center"/>
    </xf>
    <xf numFmtId="1" fontId="0" fillId="0" borderId="0" xfId="0" applyNumberFormat="1" applyBorder="1" applyAlignment="1" quotePrefix="1">
      <alignment/>
    </xf>
    <xf numFmtId="2" fontId="6" fillId="0" borderId="0" xfId="0" applyNumberFormat="1" applyFont="1" applyBorder="1" applyAlignment="1">
      <alignment/>
    </xf>
    <xf numFmtId="1" fontId="2" fillId="32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/>
    </xf>
    <xf numFmtId="1" fontId="2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17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7" fontId="7" fillId="32" borderId="39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" fontId="7" fillId="32" borderId="21" xfId="0" applyNumberFormat="1" applyFont="1" applyFill="1" applyBorder="1" applyAlignment="1" quotePrefix="1">
      <alignment horizontal="center"/>
    </xf>
    <xf numFmtId="0" fontId="2" fillId="32" borderId="22" xfId="0" applyNumberFormat="1" applyFont="1" applyFill="1" applyBorder="1" applyAlignment="1" quotePrefix="1">
      <alignment horizontal="center"/>
    </xf>
    <xf numFmtId="0" fontId="2" fillId="32" borderId="42" xfId="0" applyNumberFormat="1" applyFont="1" applyFill="1" applyBorder="1" applyAlignment="1" quotePrefix="1">
      <alignment horizontal="center"/>
    </xf>
    <xf numFmtId="2" fontId="0" fillId="0" borderId="43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8" fillId="0" borderId="24" xfId="0" applyNumberFormat="1" applyFont="1" applyBorder="1" applyAlignment="1" quotePrefix="1">
      <alignment horizontal="center"/>
    </xf>
    <xf numFmtId="2" fontId="8" fillId="0" borderId="17" xfId="0" applyNumberFormat="1" applyFont="1" applyBorder="1" applyAlignment="1" quotePrefix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 vertic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2" fontId="0" fillId="33" borderId="44" xfId="0" applyNumberForma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2" fontId="2" fillId="33" borderId="45" xfId="0" applyNumberFormat="1" applyFont="1" applyFill="1" applyBorder="1" applyAlignment="1">
      <alignment horizontal="center"/>
    </xf>
    <xf numFmtId="0" fontId="2" fillId="33" borderId="45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1" fontId="2" fillId="33" borderId="44" xfId="0" applyNumberFormat="1" applyFont="1" applyFill="1" applyBorder="1" applyAlignment="1">
      <alignment/>
    </xf>
    <xf numFmtId="1" fontId="2" fillId="33" borderId="45" xfId="0" applyNumberFormat="1" applyFont="1" applyFill="1" applyBorder="1" applyAlignment="1">
      <alignment/>
    </xf>
    <xf numFmtId="1" fontId="2" fillId="33" borderId="46" xfId="0" applyNumberFormat="1" applyFont="1" applyFill="1" applyBorder="1" applyAlignment="1">
      <alignment/>
    </xf>
    <xf numFmtId="0" fontId="18" fillId="33" borderId="45" xfId="0" applyFont="1" applyFill="1" applyBorder="1" applyAlignment="1">
      <alignment/>
    </xf>
    <xf numFmtId="1" fontId="19" fillId="33" borderId="37" xfId="0" applyNumberFormat="1" applyFont="1" applyFill="1" applyBorder="1" applyAlignment="1" quotePrefix="1">
      <alignment horizontal="right"/>
    </xf>
    <xf numFmtId="2" fontId="0" fillId="33" borderId="12" xfId="0" applyNumberForma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1" fontId="19" fillId="33" borderId="10" xfId="0" applyNumberFormat="1" applyFont="1" applyFill="1" applyBorder="1" applyAlignment="1" quotePrefix="1">
      <alignment horizontal="right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" fontId="2" fillId="33" borderId="20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181" fontId="2" fillId="0" borderId="10" xfId="0" applyNumberFormat="1" applyFont="1" applyBorder="1" applyAlignment="1">
      <alignment horizontal="center"/>
    </xf>
    <xf numFmtId="1" fontId="0" fillId="33" borderId="0" xfId="0" applyNumberForma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 quotePrefix="1">
      <alignment horizontal="right"/>
    </xf>
    <xf numFmtId="0" fontId="0" fillId="33" borderId="12" xfId="0" applyFill="1" applyBorder="1" applyAlignment="1">
      <alignment/>
    </xf>
    <xf numFmtId="0" fontId="2" fillId="34" borderId="42" xfId="0" applyNumberFormat="1" applyFont="1" applyFill="1" applyBorder="1" applyAlignment="1" quotePrefix="1">
      <alignment horizontal="center"/>
    </xf>
    <xf numFmtId="0" fontId="0" fillId="35" borderId="38" xfId="0" applyFill="1" applyBorder="1" applyAlignment="1">
      <alignment/>
    </xf>
    <xf numFmtId="0" fontId="2" fillId="33" borderId="0" xfId="0" applyFont="1" applyFill="1" applyBorder="1" applyAlignment="1">
      <alignment/>
    </xf>
    <xf numFmtId="2" fontId="11" fillId="33" borderId="13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4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2" fontId="6" fillId="33" borderId="47" xfId="0" applyNumberFormat="1" applyFont="1" applyFill="1" applyBorder="1" applyAlignment="1">
      <alignment/>
    </xf>
    <xf numFmtId="2" fontId="2" fillId="33" borderId="31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35" borderId="40" xfId="0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35" borderId="43" xfId="0" applyFont="1" applyFill="1" applyBorder="1" applyAlignment="1">
      <alignment horizontal="center"/>
    </xf>
    <xf numFmtId="1" fontId="11" fillId="33" borderId="0" xfId="0" applyNumberFormat="1" applyFont="1" applyFill="1" applyBorder="1" applyAlignment="1" quotePrefix="1">
      <alignment horizontal="right"/>
    </xf>
    <xf numFmtId="2" fontId="11" fillId="33" borderId="13" xfId="0" applyNumberFormat="1" applyFont="1" applyFill="1" applyBorder="1" applyAlignment="1">
      <alignment/>
    </xf>
    <xf numFmtId="1" fontId="20" fillId="33" borderId="0" xfId="0" applyNumberFormat="1" applyFont="1" applyFill="1" applyBorder="1" applyAlignment="1" quotePrefix="1">
      <alignment horizontal="right"/>
    </xf>
    <xf numFmtId="1" fontId="20" fillId="33" borderId="48" xfId="0" applyNumberFormat="1" applyFont="1" applyFill="1" applyBorder="1" applyAlignment="1">
      <alignment horizontal="right"/>
    </xf>
    <xf numFmtId="2" fontId="11" fillId="33" borderId="47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17" fontId="7" fillId="33" borderId="0" xfId="0" applyNumberFormat="1" applyFont="1" applyFill="1" applyBorder="1" applyAlignment="1">
      <alignment horizontal="left"/>
    </xf>
    <xf numFmtId="2" fontId="0" fillId="33" borderId="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23" xfId="0" applyFill="1" applyBorder="1" applyAlignment="1">
      <alignment/>
    </xf>
    <xf numFmtId="0" fontId="2" fillId="32" borderId="23" xfId="0" applyFont="1" applyFill="1" applyBorder="1" applyAlignment="1">
      <alignment/>
    </xf>
    <xf numFmtId="0" fontId="2" fillId="32" borderId="23" xfId="0" applyFont="1" applyFill="1" applyBorder="1" applyAlignment="1" quotePrefix="1">
      <alignment horizontal="center"/>
    </xf>
    <xf numFmtId="0" fontId="2" fillId="32" borderId="23" xfId="0" applyFont="1" applyFill="1" applyBorder="1" applyAlignment="1">
      <alignment horizontal="center"/>
    </xf>
    <xf numFmtId="0" fontId="0" fillId="32" borderId="49" xfId="0" applyFill="1" applyBorder="1" applyAlignment="1">
      <alignment/>
    </xf>
    <xf numFmtId="0" fontId="2" fillId="32" borderId="49" xfId="0" applyFont="1" applyFill="1" applyBorder="1" applyAlignment="1">
      <alignment/>
    </xf>
    <xf numFmtId="0" fontId="0" fillId="32" borderId="30" xfId="0" applyFill="1" applyBorder="1" applyAlignment="1">
      <alignment/>
    </xf>
    <xf numFmtId="0" fontId="2" fillId="32" borderId="30" xfId="0" applyFont="1" applyFill="1" applyBorder="1" applyAlignment="1">
      <alignment horizontal="center"/>
    </xf>
    <xf numFmtId="0" fontId="2" fillId="32" borderId="30" xfId="0" applyFont="1" applyFill="1" applyBorder="1" applyAlignment="1">
      <alignment/>
    </xf>
    <xf numFmtId="0" fontId="2" fillId="32" borderId="4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50" xfId="0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2" borderId="37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1" fontId="6" fillId="32" borderId="0" xfId="0" applyNumberFormat="1" applyFont="1" applyFill="1" applyBorder="1" applyAlignment="1">
      <alignment/>
    </xf>
    <xf numFmtId="0" fontId="6" fillId="0" borderId="0" xfId="0" applyFont="1" applyAlignment="1" quotePrefix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32" borderId="44" xfId="0" applyFont="1" applyFill="1" applyBorder="1" applyAlignment="1">
      <alignment/>
    </xf>
    <xf numFmtId="0" fontId="2" fillId="32" borderId="45" xfId="0" applyFont="1" applyFill="1" applyBorder="1" applyAlignment="1">
      <alignment/>
    </xf>
    <xf numFmtId="0" fontId="2" fillId="32" borderId="46" xfId="0" applyFont="1" applyFill="1" applyBorder="1" applyAlignment="1">
      <alignment/>
    </xf>
    <xf numFmtId="1" fontId="6" fillId="32" borderId="5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 quotePrefix="1">
      <alignment horizontal="center"/>
    </xf>
    <xf numFmtId="2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2" fontId="2" fillId="32" borderId="0" xfId="0" applyNumberFormat="1" applyFont="1" applyFill="1" applyBorder="1" applyAlignment="1">
      <alignment horizontal="right"/>
    </xf>
    <xf numFmtId="0" fontId="0" fillId="33" borderId="36" xfId="0" applyFont="1" applyFill="1" applyBorder="1" applyAlignment="1">
      <alignment horizontal="center"/>
    </xf>
    <xf numFmtId="0" fontId="0" fillId="32" borderId="52" xfId="0" applyFont="1" applyFill="1" applyBorder="1" applyAlignment="1">
      <alignment/>
    </xf>
    <xf numFmtId="0" fontId="2" fillId="32" borderId="52" xfId="0" applyFont="1" applyFill="1" applyBorder="1" applyAlignment="1">
      <alignment/>
    </xf>
    <xf numFmtId="2" fontId="0" fillId="32" borderId="37" xfId="0" applyNumberFormat="1" applyFont="1" applyFill="1" applyBorder="1" applyAlignment="1">
      <alignment/>
    </xf>
    <xf numFmtId="0" fontId="0" fillId="33" borderId="53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2" fontId="0" fillId="32" borderId="54" xfId="0" applyNumberFormat="1" applyFont="1" applyFill="1" applyBorder="1" applyAlignment="1">
      <alignment/>
    </xf>
    <xf numFmtId="0" fontId="0" fillId="33" borderId="55" xfId="0" applyFont="1" applyFill="1" applyBorder="1" applyAlignment="1">
      <alignment horizontal="center"/>
    </xf>
    <xf numFmtId="0" fontId="0" fillId="32" borderId="56" xfId="0" applyFont="1" applyFill="1" applyBorder="1" applyAlignment="1">
      <alignment/>
    </xf>
    <xf numFmtId="0" fontId="2" fillId="32" borderId="56" xfId="0" applyFont="1" applyFill="1" applyBorder="1" applyAlignment="1">
      <alignment/>
    </xf>
    <xf numFmtId="2" fontId="0" fillId="32" borderId="41" xfId="0" applyNumberFormat="1" applyFont="1" applyFill="1" applyBorder="1" applyAlignment="1">
      <alignment/>
    </xf>
    <xf numFmtId="0" fontId="0" fillId="32" borderId="36" xfId="0" applyFont="1" applyFill="1" applyBorder="1" applyAlignment="1">
      <alignment horizontal="center"/>
    </xf>
    <xf numFmtId="0" fontId="0" fillId="32" borderId="29" xfId="0" applyFont="1" applyFill="1" applyBorder="1" applyAlignment="1">
      <alignment/>
    </xf>
    <xf numFmtId="0" fontId="0" fillId="32" borderId="39" xfId="0" applyFont="1" applyFill="1" applyBorder="1" applyAlignment="1">
      <alignment horizontal="center"/>
    </xf>
    <xf numFmtId="0" fontId="0" fillId="32" borderId="57" xfId="0" applyFont="1" applyFill="1" applyBorder="1" applyAlignment="1">
      <alignment/>
    </xf>
    <xf numFmtId="0" fontId="2" fillId="32" borderId="57" xfId="0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55" xfId="0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2" borderId="58" xfId="0" applyFont="1" applyFill="1" applyBorder="1" applyAlignment="1">
      <alignment/>
    </xf>
    <xf numFmtId="0" fontId="0" fillId="0" borderId="58" xfId="0" applyFont="1" applyBorder="1" applyAlignment="1">
      <alignment/>
    </xf>
    <xf numFmtId="0" fontId="2" fillId="32" borderId="58" xfId="0" applyFont="1" applyFill="1" applyBorder="1" applyAlignment="1">
      <alignment/>
    </xf>
    <xf numFmtId="0" fontId="2" fillId="32" borderId="22" xfId="0" applyFont="1" applyFill="1" applyBorder="1" applyAlignment="1">
      <alignment horizontal="center"/>
    </xf>
    <xf numFmtId="2" fontId="0" fillId="32" borderId="22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7" fontId="7" fillId="35" borderId="23" xfId="0" applyNumberFormat="1" applyFont="1" applyFill="1" applyBorder="1" applyAlignment="1" quotePrefix="1">
      <alignment horizontal="center"/>
    </xf>
    <xf numFmtId="0" fontId="0" fillId="35" borderId="23" xfId="0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17" fontId="7" fillId="34" borderId="59" xfId="0" applyNumberFormat="1" applyFont="1" applyFill="1" applyBorder="1" applyAlignment="1" quotePrefix="1">
      <alignment horizontal="center"/>
    </xf>
    <xf numFmtId="0" fontId="0" fillId="35" borderId="10" xfId="0" applyFill="1" applyBorder="1" applyAlignment="1">
      <alignment/>
    </xf>
    <xf numFmtId="0" fontId="2" fillId="34" borderId="60" xfId="0" applyNumberFormat="1" applyFont="1" applyFill="1" applyBorder="1" applyAlignment="1" quotePrefix="1">
      <alignment horizontal="center"/>
    </xf>
    <xf numFmtId="0" fontId="2" fillId="32" borderId="61" xfId="0" applyNumberFormat="1" applyFont="1" applyFill="1" applyBorder="1" applyAlignment="1" quotePrefix="1">
      <alignment horizontal="center"/>
    </xf>
    <xf numFmtId="0" fontId="2" fillId="34" borderId="10" xfId="0" applyNumberFormat="1" applyFont="1" applyFill="1" applyBorder="1" applyAlignment="1" quotePrefix="1">
      <alignment horizontal="center"/>
    </xf>
    <xf numFmtId="0" fontId="2" fillId="34" borderId="49" xfId="0" applyNumberFormat="1" applyFont="1" applyFill="1" applyBorder="1" applyAlignment="1" quotePrefix="1">
      <alignment horizontal="center"/>
    </xf>
    <xf numFmtId="0" fontId="0" fillId="35" borderId="49" xfId="0" applyFill="1" applyBorder="1" applyAlignment="1">
      <alignment/>
    </xf>
    <xf numFmtId="17" fontId="7" fillId="35" borderId="49" xfId="0" applyNumberFormat="1" applyFont="1" applyFill="1" applyBorder="1" applyAlignment="1" quotePrefix="1">
      <alignment horizontal="center"/>
    </xf>
    <xf numFmtId="0" fontId="0" fillId="33" borderId="10" xfId="0" applyFill="1" applyBorder="1" applyAlignment="1">
      <alignment/>
    </xf>
    <xf numFmtId="0" fontId="2" fillId="32" borderId="10" xfId="0" applyNumberFormat="1" applyFont="1" applyFill="1" applyBorder="1" applyAlignment="1" quotePrefix="1">
      <alignment horizontal="right"/>
    </xf>
    <xf numFmtId="2" fontId="0" fillId="33" borderId="17" xfId="0" applyNumberFormat="1" applyFill="1" applyBorder="1" applyAlignment="1">
      <alignment/>
    </xf>
    <xf numFmtId="0" fontId="25" fillId="0" borderId="0" xfId="0" applyFont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3" xfId="0" applyFont="1" applyBorder="1" applyAlignment="1">
      <alignment vertical="top"/>
    </xf>
    <xf numFmtId="0" fontId="28" fillId="0" borderId="10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49" fontId="28" fillId="0" borderId="39" xfId="0" applyNumberFormat="1" applyFont="1" applyBorder="1" applyAlignment="1">
      <alignment vertical="top"/>
    </xf>
    <xf numFmtId="49" fontId="28" fillId="0" borderId="11" xfId="0" applyNumberFormat="1" applyFont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49" fontId="28" fillId="0" borderId="12" xfId="0" applyNumberFormat="1" applyFont="1" applyBorder="1" applyAlignment="1">
      <alignment vertical="top"/>
    </xf>
    <xf numFmtId="0" fontId="28" fillId="0" borderId="62" xfId="0" applyFont="1" applyBorder="1" applyAlignment="1">
      <alignment vertical="top"/>
    </xf>
    <xf numFmtId="49" fontId="28" fillId="0" borderId="63" xfId="0" applyNumberFormat="1" applyFont="1" applyBorder="1" applyAlignment="1">
      <alignment vertical="top"/>
    </xf>
    <xf numFmtId="0" fontId="28" fillId="0" borderId="64" xfId="0" applyFont="1" applyBorder="1" applyAlignment="1">
      <alignment vertical="top"/>
    </xf>
    <xf numFmtId="0" fontId="28" fillId="0" borderId="48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vertical="top"/>
    </xf>
    <xf numFmtId="49" fontId="28" fillId="0" borderId="32" xfId="0" applyNumberFormat="1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0" fontId="28" fillId="0" borderId="65" xfId="0" applyFont="1" applyBorder="1" applyAlignment="1">
      <alignment vertical="top"/>
    </xf>
    <xf numFmtId="2" fontId="25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28" fillId="0" borderId="6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57" xfId="0" applyFont="1" applyBorder="1" applyAlignment="1">
      <alignment vertical="center"/>
    </xf>
    <xf numFmtId="0" fontId="28" fillId="0" borderId="49" xfId="0" applyFont="1" applyBorder="1" applyAlignment="1">
      <alignment vertical="center"/>
    </xf>
    <xf numFmtId="0" fontId="25" fillId="0" borderId="0" xfId="0" applyFont="1" applyAlignment="1">
      <alignment horizontal="center" vertical="top"/>
    </xf>
    <xf numFmtId="0" fontId="28" fillId="0" borderId="18" xfId="0" applyFont="1" applyBorder="1" applyAlignment="1">
      <alignment vertical="center"/>
    </xf>
    <xf numFmtId="0" fontId="28" fillId="0" borderId="66" xfId="0" applyFont="1" applyBorder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44" xfId="0" applyFont="1" applyBorder="1" applyAlignment="1">
      <alignment horizontal="center"/>
    </xf>
    <xf numFmtId="0" fontId="28" fillId="0" borderId="45" xfId="0" applyFont="1" applyBorder="1" applyAlignment="1">
      <alignment/>
    </xf>
    <xf numFmtId="0" fontId="28" fillId="0" borderId="45" xfId="0" applyFont="1" applyBorder="1" applyAlignment="1">
      <alignment vertical="center"/>
    </xf>
    <xf numFmtId="0" fontId="27" fillId="0" borderId="61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top"/>
    </xf>
    <xf numFmtId="0" fontId="25" fillId="0" borderId="0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28" fillId="0" borderId="54" xfId="0" applyFont="1" applyBorder="1" applyAlignment="1">
      <alignment vertical="center"/>
    </xf>
    <xf numFmtId="49" fontId="28" fillId="0" borderId="68" xfId="0" applyNumberFormat="1" applyFont="1" applyBorder="1" applyAlignment="1">
      <alignment vertical="center"/>
    </xf>
    <xf numFmtId="0" fontId="28" fillId="0" borderId="52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49" fontId="28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4" fillId="0" borderId="39" xfId="0" applyFont="1" applyBorder="1" applyAlignment="1">
      <alignment horizontal="right" vertical="center"/>
    </xf>
    <xf numFmtId="0" fontId="14" fillId="0" borderId="57" xfId="0" applyFont="1" applyBorder="1" applyAlignment="1">
      <alignment vertical="center"/>
    </xf>
    <xf numFmtId="0" fontId="28" fillId="0" borderId="39" xfId="0" applyFont="1" applyBorder="1" applyAlignment="1">
      <alignment vertical="center"/>
    </xf>
    <xf numFmtId="49" fontId="28" fillId="0" borderId="12" xfId="0" applyNumberFormat="1" applyFont="1" applyBorder="1" applyAlignment="1">
      <alignment/>
    </xf>
    <xf numFmtId="0" fontId="28" fillId="0" borderId="0" xfId="0" applyFont="1" applyBorder="1" applyAlignment="1">
      <alignment/>
    </xf>
    <xf numFmtId="49" fontId="28" fillId="0" borderId="63" xfId="0" applyNumberFormat="1" applyFont="1" applyBorder="1" applyAlignment="1">
      <alignment vertical="center"/>
    </xf>
    <xf numFmtId="0" fontId="28" fillId="0" borderId="48" xfId="0" applyFont="1" applyBorder="1" applyAlignment="1">
      <alignment vertical="top"/>
    </xf>
    <xf numFmtId="0" fontId="28" fillId="0" borderId="4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48" xfId="0" applyFont="1" applyBorder="1" applyAlignment="1">
      <alignment vertical="top"/>
    </xf>
    <xf numFmtId="49" fontId="28" fillId="0" borderId="18" xfId="0" applyNumberFormat="1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49" fontId="36" fillId="32" borderId="36" xfId="0" applyNumberFormat="1" applyFont="1" applyFill="1" applyBorder="1" applyAlignment="1">
      <alignment horizontal="center" vertical="center"/>
    </xf>
    <xf numFmtId="0" fontId="25" fillId="32" borderId="37" xfId="0" applyFont="1" applyFill="1" applyBorder="1" applyAlignment="1">
      <alignment vertical="center"/>
    </xf>
    <xf numFmtId="49" fontId="36" fillId="32" borderId="39" xfId="0" applyNumberFormat="1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27" fillId="32" borderId="39" xfId="0" applyNumberFormat="1" applyFont="1" applyFill="1" applyBorder="1" applyAlignment="1">
      <alignment horizontal="center" vertical="center"/>
    </xf>
    <xf numFmtId="49" fontId="27" fillId="32" borderId="55" xfId="0" applyNumberFormat="1" applyFont="1" applyFill="1" applyBorder="1" applyAlignment="1">
      <alignment horizontal="center" vertical="center"/>
    </xf>
    <xf numFmtId="0" fontId="25" fillId="32" borderId="41" xfId="0" applyFont="1" applyFill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" fontId="25" fillId="0" borderId="70" xfId="0" applyNumberFormat="1" applyFont="1" applyBorder="1" applyAlignment="1">
      <alignment vertical="center"/>
    </xf>
    <xf numFmtId="1" fontId="25" fillId="0" borderId="71" xfId="0" applyNumberFormat="1" applyFont="1" applyBorder="1" applyAlignment="1">
      <alignment vertical="center"/>
    </xf>
    <xf numFmtId="0" fontId="27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 quotePrefix="1">
      <alignment vertical="center"/>
    </xf>
    <xf numFmtId="0" fontId="34" fillId="0" borderId="0" xfId="0" applyFont="1" applyBorder="1" applyAlignment="1">
      <alignment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39" xfId="0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37" fillId="0" borderId="41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39" fillId="36" borderId="0" xfId="0" applyFont="1" applyFill="1" applyBorder="1" applyAlignment="1">
      <alignment vertical="center"/>
    </xf>
    <xf numFmtId="0" fontId="40" fillId="36" borderId="0" xfId="0" applyFont="1" applyFill="1" applyAlignment="1">
      <alignment vertical="center"/>
    </xf>
    <xf numFmtId="0" fontId="25" fillId="36" borderId="0" xfId="0" applyFont="1" applyFill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28" fillId="0" borderId="45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32" borderId="57" xfId="0" applyFont="1" applyFill="1" applyBorder="1" applyAlignment="1">
      <alignment vertical="center"/>
    </xf>
    <xf numFmtId="0" fontId="14" fillId="32" borderId="49" xfId="0" applyFont="1" applyFill="1" applyBorder="1" applyAlignment="1">
      <alignment vertical="center"/>
    </xf>
    <xf numFmtId="0" fontId="43" fillId="32" borderId="23" xfId="0" applyFont="1" applyFill="1" applyBorder="1" applyAlignment="1">
      <alignment vertical="center"/>
    </xf>
    <xf numFmtId="1" fontId="45" fillId="32" borderId="72" xfId="0" applyNumberFormat="1" applyFont="1" applyFill="1" applyBorder="1" applyAlignment="1" quotePrefix="1">
      <alignment horizontal="right"/>
    </xf>
    <xf numFmtId="1" fontId="45" fillId="32" borderId="23" xfId="0" applyNumberFormat="1" applyFont="1" applyFill="1" applyBorder="1" applyAlignment="1" quotePrefix="1">
      <alignment horizontal="right"/>
    </xf>
    <xf numFmtId="1" fontId="45" fillId="32" borderId="73" xfId="0" applyNumberFormat="1" applyFont="1" applyFill="1" applyBorder="1" applyAlignment="1">
      <alignment horizontal="right"/>
    </xf>
    <xf numFmtId="0" fontId="0" fillId="32" borderId="48" xfId="0" applyFill="1" applyBorder="1" applyAlignment="1">
      <alignment/>
    </xf>
    <xf numFmtId="0" fontId="0" fillId="0" borderId="0" xfId="0" applyBorder="1" applyAlignment="1">
      <alignment horizontal="right"/>
    </xf>
    <xf numFmtId="0" fontId="46" fillId="0" borderId="0" xfId="53" applyAlignment="1" applyProtection="1">
      <alignment/>
      <protection/>
    </xf>
    <xf numFmtId="0" fontId="48" fillId="0" borderId="0" xfId="0" applyFont="1" applyAlignment="1">
      <alignment/>
    </xf>
    <xf numFmtId="0" fontId="0" fillId="37" borderId="0" xfId="0" applyFill="1" applyAlignment="1">
      <alignment/>
    </xf>
    <xf numFmtId="0" fontId="48" fillId="37" borderId="0" xfId="0" applyFont="1" applyFill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1" fontId="7" fillId="32" borderId="30" xfId="0" applyNumberFormat="1" applyFont="1" applyFill="1" applyBorder="1" applyAlignment="1">
      <alignment/>
    </xf>
    <xf numFmtId="1" fontId="17" fillId="32" borderId="33" xfId="0" applyNumberFormat="1" applyFont="1" applyFill="1" applyBorder="1" applyAlignment="1">
      <alignment/>
    </xf>
    <xf numFmtId="1" fontId="7" fillId="32" borderId="74" xfId="0" applyNumberFormat="1" applyFont="1" applyFill="1" applyBorder="1" applyAlignment="1">
      <alignment/>
    </xf>
    <xf numFmtId="1" fontId="7" fillId="32" borderId="33" xfId="0" applyNumberFormat="1" applyFont="1" applyFill="1" applyBorder="1" applyAlignment="1">
      <alignment/>
    </xf>
    <xf numFmtId="1" fontId="8" fillId="32" borderId="33" xfId="0" applyNumberFormat="1" applyFont="1" applyFill="1" applyBorder="1" applyAlignment="1">
      <alignment/>
    </xf>
    <xf numFmtId="1" fontId="7" fillId="0" borderId="74" xfId="0" applyNumberFormat="1" applyFont="1" applyBorder="1" applyAlignment="1">
      <alignment/>
    </xf>
    <xf numFmtId="1" fontId="49" fillId="32" borderId="22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51" fillId="38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6" fillId="0" borderId="24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11" fillId="32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1" fontId="7" fillId="32" borderId="30" xfId="0" applyNumberFormat="1" applyFont="1" applyFill="1" applyBorder="1" applyAlignment="1">
      <alignment/>
    </xf>
    <xf numFmtId="1" fontId="17" fillId="32" borderId="30" xfId="0" applyNumberFormat="1" applyFont="1" applyFill="1" applyBorder="1" applyAlignment="1">
      <alignment/>
    </xf>
    <xf numFmtId="1" fontId="17" fillId="32" borderId="33" xfId="0" applyNumberFormat="1" applyFont="1" applyFill="1" applyBorder="1" applyAlignment="1">
      <alignment/>
    </xf>
    <xf numFmtId="1" fontId="7" fillId="32" borderId="74" xfId="0" applyNumberFormat="1" applyFont="1" applyFill="1" applyBorder="1" applyAlignment="1">
      <alignment/>
    </xf>
    <xf numFmtId="1" fontId="7" fillId="32" borderId="30" xfId="0" applyNumberFormat="1" applyFont="1" applyFill="1" applyBorder="1" applyAlignment="1">
      <alignment horizontal="right"/>
    </xf>
    <xf numFmtId="1" fontId="2" fillId="32" borderId="30" xfId="0" applyNumberFormat="1" applyFont="1" applyFill="1" applyBorder="1" applyAlignment="1">
      <alignment/>
    </xf>
    <xf numFmtId="1" fontId="7" fillId="32" borderId="33" xfId="0" applyNumberFormat="1" applyFont="1" applyFill="1" applyBorder="1" applyAlignment="1">
      <alignment/>
    </xf>
    <xf numFmtId="1" fontId="2" fillId="32" borderId="14" xfId="0" applyNumberFormat="1" applyFont="1" applyFill="1" applyBorder="1" applyAlignment="1">
      <alignment/>
    </xf>
    <xf numFmtId="1" fontId="7" fillId="32" borderId="28" xfId="0" applyNumberFormat="1" applyFont="1" applyFill="1" applyBorder="1" applyAlignment="1">
      <alignment/>
    </xf>
    <xf numFmtId="1" fontId="7" fillId="32" borderId="17" xfId="0" applyNumberFormat="1" applyFont="1" applyFill="1" applyBorder="1" applyAlignment="1">
      <alignment/>
    </xf>
    <xf numFmtId="1" fontId="7" fillId="32" borderId="43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6" fillId="32" borderId="49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2" fillId="34" borderId="49" xfId="0" applyFont="1" applyFill="1" applyBorder="1" applyAlignment="1">
      <alignment horizontal="center"/>
    </xf>
    <xf numFmtId="0" fontId="52" fillId="39" borderId="49" xfId="0" applyFont="1" applyFill="1" applyBorder="1" applyAlignment="1">
      <alignment/>
    </xf>
    <xf numFmtId="1" fontId="2" fillId="0" borderId="47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6" fillId="0" borderId="31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75" xfId="0" applyNumberFormat="1" applyFont="1" applyBorder="1" applyAlignment="1">
      <alignment/>
    </xf>
    <xf numFmtId="1" fontId="54" fillId="0" borderId="15" xfId="0" applyNumberFormat="1" applyFont="1" applyBorder="1" applyAlignment="1">
      <alignment/>
    </xf>
    <xf numFmtId="0" fontId="2" fillId="34" borderId="49" xfId="0" applyFont="1" applyFill="1" applyBorder="1" applyAlignment="1">
      <alignment horizontal="center"/>
    </xf>
    <xf numFmtId="1" fontId="6" fillId="32" borderId="45" xfId="0" applyNumberFormat="1" applyFont="1" applyFill="1" applyBorder="1" applyAlignment="1">
      <alignment/>
    </xf>
    <xf numFmtId="0" fontId="0" fillId="32" borderId="74" xfId="0" applyFill="1" applyBorder="1" applyAlignment="1">
      <alignment/>
    </xf>
    <xf numFmtId="0" fontId="2" fillId="32" borderId="76" xfId="0" applyFont="1" applyFill="1" applyBorder="1" applyAlignment="1">
      <alignment/>
    </xf>
    <xf numFmtId="0" fontId="50" fillId="32" borderId="35" xfId="0" applyFont="1" applyFill="1" applyBorder="1" applyAlignment="1">
      <alignment horizontal="center"/>
    </xf>
    <xf numFmtId="0" fontId="7" fillId="32" borderId="74" xfId="0" applyFont="1" applyFill="1" applyBorder="1" applyAlignment="1">
      <alignment/>
    </xf>
    <xf numFmtId="1" fontId="6" fillId="32" borderId="27" xfId="0" applyNumberFormat="1" applyFont="1" applyFill="1" applyBorder="1" applyAlignment="1">
      <alignment/>
    </xf>
    <xf numFmtId="0" fontId="0" fillId="32" borderId="12" xfId="0" applyFill="1" applyBorder="1" applyAlignment="1">
      <alignment/>
    </xf>
    <xf numFmtId="0" fontId="2" fillId="32" borderId="18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77" xfId="0" applyFill="1" applyBorder="1" applyAlignment="1">
      <alignment/>
    </xf>
    <xf numFmtId="0" fontId="6" fillId="33" borderId="78" xfId="0" applyFont="1" applyFill="1" applyBorder="1" applyAlignment="1">
      <alignment/>
    </xf>
    <xf numFmtId="0" fontId="0" fillId="33" borderId="43" xfId="0" applyFill="1" applyBorder="1" applyAlignment="1">
      <alignment/>
    </xf>
    <xf numFmtId="17" fontId="7" fillId="4" borderId="63" xfId="0" applyNumberFormat="1" applyFont="1" applyFill="1" applyBorder="1" applyAlignment="1">
      <alignment horizontal="left"/>
    </xf>
    <xf numFmtId="0" fontId="2" fillId="4" borderId="36" xfId="0" applyFont="1" applyFill="1" applyBorder="1" applyAlignment="1">
      <alignment horizontal="right"/>
    </xf>
    <xf numFmtId="0" fontId="2" fillId="4" borderId="37" xfId="0" applyFont="1" applyFill="1" applyBorder="1" applyAlignment="1">
      <alignment/>
    </xf>
    <xf numFmtId="0" fontId="2" fillId="4" borderId="37" xfId="0" applyFont="1" applyFill="1" applyBorder="1" applyAlignment="1" quotePrefix="1">
      <alignment/>
    </xf>
    <xf numFmtId="0" fontId="6" fillId="4" borderId="38" xfId="0" applyFont="1" applyFill="1" applyBorder="1" applyAlignment="1">
      <alignment/>
    </xf>
    <xf numFmtId="1" fontId="2" fillId="4" borderId="48" xfId="0" applyNumberFormat="1" applyFont="1" applyFill="1" applyBorder="1" applyAlignment="1">
      <alignment/>
    </xf>
    <xf numFmtId="17" fontId="7" fillId="4" borderId="11" xfId="0" applyNumberFormat="1" applyFont="1" applyFill="1" applyBorder="1" applyAlignment="1">
      <alignment horizontal="left"/>
    </xf>
    <xf numFmtId="0" fontId="2" fillId="4" borderId="39" xfId="0" applyNumberFormat="1" applyFont="1" applyFill="1" applyBorder="1" applyAlignment="1" quotePrefix="1">
      <alignment horizontal="right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 quotePrefix="1">
      <alignment horizontal="right"/>
    </xf>
    <xf numFmtId="0" fontId="2" fillId="4" borderId="40" xfId="0" applyFont="1" applyFill="1" applyBorder="1" applyAlignment="1">
      <alignment/>
    </xf>
    <xf numFmtId="1" fontId="2" fillId="4" borderId="57" xfId="0" applyNumberFormat="1" applyFont="1" applyFill="1" applyBorder="1" applyAlignment="1">
      <alignment/>
    </xf>
    <xf numFmtId="0" fontId="2" fillId="4" borderId="39" xfId="0" applyNumberFormat="1" applyFont="1" applyFill="1" applyBorder="1" applyAlignment="1">
      <alignment horizontal="right"/>
    </xf>
    <xf numFmtId="17" fontId="7" fillId="4" borderId="11" xfId="0" applyNumberFormat="1" applyFont="1" applyFill="1" applyBorder="1" applyAlignment="1">
      <alignment horizontal="center"/>
    </xf>
    <xf numFmtId="0" fontId="2" fillId="4" borderId="39" xfId="0" applyFont="1" applyFill="1" applyBorder="1" applyAlignment="1">
      <alignment/>
    </xf>
    <xf numFmtId="17" fontId="7" fillId="4" borderId="11" xfId="0" applyNumberFormat="1" applyFont="1" applyFill="1" applyBorder="1" applyAlignment="1" quotePrefix="1">
      <alignment horizontal="center"/>
    </xf>
    <xf numFmtId="0" fontId="0" fillId="4" borderId="39" xfId="0" applyFill="1" applyBorder="1" applyAlignment="1">
      <alignment/>
    </xf>
    <xf numFmtId="0" fontId="0" fillId="4" borderId="10" xfId="0" applyFill="1" applyBorder="1" applyAlignment="1">
      <alignment/>
    </xf>
    <xf numFmtId="0" fontId="2" fillId="4" borderId="40" xfId="0" applyFont="1" applyFill="1" applyBorder="1" applyAlignment="1">
      <alignment horizontal="right"/>
    </xf>
    <xf numFmtId="1" fontId="2" fillId="4" borderId="57" xfId="0" applyNumberFormat="1" applyFont="1" applyFill="1" applyBorder="1" applyAlignment="1">
      <alignment horizontal="right"/>
    </xf>
    <xf numFmtId="17" fontId="7" fillId="4" borderId="79" xfId="0" applyNumberFormat="1" applyFont="1" applyFill="1" applyBorder="1" applyAlignment="1" quotePrefix="1">
      <alignment horizontal="center"/>
    </xf>
    <xf numFmtId="0" fontId="0" fillId="4" borderId="55" xfId="0" applyFill="1" applyBorder="1" applyAlignment="1">
      <alignment/>
    </xf>
    <xf numFmtId="0" fontId="0" fillId="4" borderId="41" xfId="0" applyFill="1" applyBorder="1" applyAlignment="1">
      <alignment/>
    </xf>
    <xf numFmtId="0" fontId="2" fillId="4" borderId="43" xfId="0" applyFont="1" applyFill="1" applyBorder="1" applyAlignment="1">
      <alignment horizontal="right"/>
    </xf>
    <xf numFmtId="1" fontId="2" fillId="4" borderId="65" xfId="0" applyNumberFormat="1" applyFont="1" applyFill="1" applyBorder="1" applyAlignment="1">
      <alignment horizontal="right"/>
    </xf>
    <xf numFmtId="0" fontId="2" fillId="4" borderId="26" xfId="0" applyFont="1" applyFill="1" applyBorder="1" applyAlignment="1">
      <alignment/>
    </xf>
    <xf numFmtId="0" fontId="2" fillId="4" borderId="77" xfId="0" applyFont="1" applyFill="1" applyBorder="1" applyAlignment="1">
      <alignment/>
    </xf>
    <xf numFmtId="0" fontId="2" fillId="4" borderId="80" xfId="0" applyFont="1" applyFill="1" applyBorder="1" applyAlignment="1">
      <alignment/>
    </xf>
    <xf numFmtId="0" fontId="2" fillId="4" borderId="78" xfId="0" applyFont="1" applyFill="1" applyBorder="1" applyAlignment="1">
      <alignment/>
    </xf>
    <xf numFmtId="1" fontId="2" fillId="4" borderId="58" xfId="0" applyNumberFormat="1" applyFont="1" applyFill="1" applyBorder="1" applyAlignment="1">
      <alignment/>
    </xf>
    <xf numFmtId="0" fontId="42" fillId="40" borderId="81" xfId="0" applyFont="1" applyFill="1" applyBorder="1" applyAlignment="1">
      <alignment horizontal="center"/>
    </xf>
    <xf numFmtId="0" fontId="42" fillId="40" borderId="37" xfId="0" applyFont="1" applyFill="1" applyBorder="1" applyAlignment="1">
      <alignment horizontal="center"/>
    </xf>
    <xf numFmtId="0" fontId="42" fillId="40" borderId="38" xfId="0" applyFont="1" applyFill="1" applyBorder="1" applyAlignment="1">
      <alignment horizontal="center"/>
    </xf>
    <xf numFmtId="0" fontId="42" fillId="40" borderId="82" xfId="0" applyFont="1" applyFill="1" applyBorder="1" applyAlignment="1">
      <alignment horizontal="center"/>
    </xf>
    <xf numFmtId="0" fontId="42" fillId="40" borderId="41" xfId="0" applyFont="1" applyFill="1" applyBorder="1" applyAlignment="1">
      <alignment horizontal="center"/>
    </xf>
    <xf numFmtId="0" fontId="42" fillId="40" borderId="43" xfId="0" applyFont="1" applyFill="1" applyBorder="1" applyAlignment="1">
      <alignment horizontal="center"/>
    </xf>
    <xf numFmtId="1" fontId="6" fillId="40" borderId="83" xfId="0" applyNumberFormat="1" applyFont="1" applyFill="1" applyBorder="1" applyAlignment="1">
      <alignment/>
    </xf>
    <xf numFmtId="0" fontId="6" fillId="40" borderId="35" xfId="0" applyFont="1" applyFill="1" applyBorder="1" applyAlignment="1">
      <alignment/>
    </xf>
    <xf numFmtId="0" fontId="8" fillId="40" borderId="84" xfId="0" applyFont="1" applyFill="1" applyBorder="1" applyAlignment="1">
      <alignment/>
    </xf>
    <xf numFmtId="0" fontId="2" fillId="40" borderId="39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5" fillId="40" borderId="40" xfId="0" applyFont="1" applyFill="1" applyBorder="1" applyAlignment="1">
      <alignment/>
    </xf>
    <xf numFmtId="1" fontId="53" fillId="40" borderId="40" xfId="0" applyNumberFormat="1" applyFont="1" applyFill="1" applyBorder="1" applyAlignment="1">
      <alignment/>
    </xf>
    <xf numFmtId="1" fontId="8" fillId="40" borderId="40" xfId="0" applyNumberFormat="1" applyFont="1" applyFill="1" applyBorder="1" applyAlignment="1">
      <alignment/>
    </xf>
    <xf numFmtId="0" fontId="2" fillId="40" borderId="50" xfId="0" applyFont="1" applyFill="1" applyBorder="1" applyAlignment="1">
      <alignment/>
    </xf>
    <xf numFmtId="0" fontId="2" fillId="40" borderId="24" xfId="0" applyFont="1" applyFill="1" applyBorder="1" applyAlignment="1">
      <alignment/>
    </xf>
    <xf numFmtId="0" fontId="5" fillId="40" borderId="85" xfId="0" applyFont="1" applyFill="1" applyBorder="1" applyAlignment="1">
      <alignment/>
    </xf>
    <xf numFmtId="0" fontId="2" fillId="40" borderId="21" xfId="0" applyFont="1" applyFill="1" applyBorder="1" applyAlignment="1">
      <alignment/>
    </xf>
    <xf numFmtId="0" fontId="2" fillId="40" borderId="22" xfId="0" applyFont="1" applyFill="1" applyBorder="1" applyAlignment="1">
      <alignment/>
    </xf>
    <xf numFmtId="0" fontId="5" fillId="40" borderId="42" xfId="0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2" borderId="12" xfId="0" applyFont="1" applyFill="1" applyBorder="1" applyAlignment="1" quotePrefix="1">
      <alignment/>
    </xf>
    <xf numFmtId="0" fontId="2" fillId="32" borderId="12" xfId="0" applyFont="1" applyFill="1" applyBorder="1" applyAlignment="1" quotePrefix="1">
      <alignment horizontal="left" vertical="top"/>
    </xf>
    <xf numFmtId="0" fontId="2" fillId="32" borderId="12" xfId="0" applyFont="1" applyFill="1" applyBorder="1" applyAlignment="1">
      <alignment horizontal="left" vertical="top"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57" xfId="0" applyFill="1" applyBorder="1" applyAlignment="1">
      <alignment/>
    </xf>
    <xf numFmtId="0" fontId="50" fillId="32" borderId="19" xfId="0" applyFont="1" applyFill="1" applyBorder="1" applyAlignment="1">
      <alignment/>
    </xf>
    <xf numFmtId="0" fontId="50" fillId="32" borderId="0" xfId="0" applyFont="1" applyFill="1" applyBorder="1" applyAlignment="1">
      <alignment/>
    </xf>
    <xf numFmtId="0" fontId="50" fillId="32" borderId="19" xfId="0" applyFont="1" applyFill="1" applyBorder="1" applyAlignment="1">
      <alignment/>
    </xf>
    <xf numFmtId="0" fontId="50" fillId="32" borderId="20" xfId="0" applyFont="1" applyFill="1" applyBorder="1" applyAlignment="1">
      <alignment horizontal="center"/>
    </xf>
    <xf numFmtId="1" fontId="9" fillId="32" borderId="15" xfId="0" applyNumberFormat="1" applyFont="1" applyFill="1" applyBorder="1" applyAlignment="1">
      <alignment/>
    </xf>
    <xf numFmtId="0" fontId="42" fillId="0" borderId="17" xfId="0" applyFont="1" applyBorder="1" applyAlignment="1">
      <alignment horizontal="center" wrapText="1"/>
    </xf>
    <xf numFmtId="1" fontId="55" fillId="32" borderId="19" xfId="0" applyNumberFormat="1" applyFont="1" applyFill="1" applyBorder="1" applyAlignment="1" quotePrefix="1">
      <alignment horizontal="right"/>
    </xf>
    <xf numFmtId="0" fontId="2" fillId="32" borderId="21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2" fillId="32" borderId="42" xfId="0" applyFont="1" applyFill="1" applyBorder="1" applyAlignment="1">
      <alignment/>
    </xf>
    <xf numFmtId="1" fontId="2" fillId="32" borderId="58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8" fillId="41" borderId="10" xfId="0" applyFont="1" applyFill="1" applyBorder="1" applyAlignment="1">
      <alignment horizontal="center"/>
    </xf>
    <xf numFmtId="0" fontId="51" fillId="41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1" fillId="33" borderId="36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11" fillId="33" borderId="55" xfId="0" applyFont="1" applyFill="1" applyBorder="1" applyAlignment="1">
      <alignment/>
    </xf>
    <xf numFmtId="0" fontId="11" fillId="33" borderId="43" xfId="0" applyFont="1" applyFill="1" applyBorder="1" applyAlignment="1">
      <alignment/>
    </xf>
    <xf numFmtId="0" fontId="11" fillId="34" borderId="55" xfId="0" applyFont="1" applyFill="1" applyBorder="1" applyAlignment="1">
      <alignment/>
    </xf>
    <xf numFmtId="0" fontId="11" fillId="34" borderId="43" xfId="0" applyFont="1" applyFill="1" applyBorder="1" applyAlignment="1">
      <alignment/>
    </xf>
    <xf numFmtId="0" fontId="27" fillId="0" borderId="8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9" fontId="36" fillId="32" borderId="83" xfId="0" applyNumberFormat="1" applyFont="1" applyFill="1" applyBorder="1" applyAlignment="1">
      <alignment horizontal="center" vertical="center"/>
    </xf>
    <xf numFmtId="49" fontId="27" fillId="32" borderId="50" xfId="0" applyNumberFormat="1" applyFont="1" applyFill="1" applyBorder="1" applyAlignment="1">
      <alignment horizontal="center" vertical="center"/>
    </xf>
    <xf numFmtId="49" fontId="27" fillId="32" borderId="21" xfId="0" applyNumberFormat="1" applyFont="1" applyFill="1" applyBorder="1" applyAlignment="1">
      <alignment horizontal="center" vertical="center"/>
    </xf>
    <xf numFmtId="0" fontId="25" fillId="32" borderId="22" xfId="0" applyFont="1" applyFill="1" applyBorder="1" applyAlignment="1">
      <alignment vertical="center"/>
    </xf>
    <xf numFmtId="0" fontId="25" fillId="32" borderId="5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1" fontId="0" fillId="0" borderId="49" xfId="0" applyNumberFormat="1" applyBorder="1" applyAlignment="1">
      <alignment horizontal="center" vertical="center"/>
    </xf>
    <xf numFmtId="2" fontId="40" fillId="0" borderId="0" xfId="0" applyNumberFormat="1" applyFont="1" applyAlignment="1">
      <alignment vertical="center"/>
    </xf>
    <xf numFmtId="2" fontId="60" fillId="0" borderId="70" xfId="0" applyNumberFormat="1" applyFont="1" applyBorder="1" applyAlignment="1">
      <alignment vertical="center"/>
    </xf>
    <xf numFmtId="2" fontId="40" fillId="0" borderId="71" xfId="0" applyNumberFormat="1" applyFont="1" applyBorder="1" applyAlignment="1">
      <alignment vertical="center"/>
    </xf>
    <xf numFmtId="1" fontId="61" fillId="32" borderId="41" xfId="0" applyNumberFormat="1" applyFont="1" applyFill="1" applyBorder="1" applyAlignment="1">
      <alignment vertical="center"/>
    </xf>
    <xf numFmtId="1" fontId="37" fillId="32" borderId="37" xfId="0" applyNumberFormat="1" applyFont="1" applyFill="1" applyBorder="1" applyAlignment="1">
      <alignment vertical="center"/>
    </xf>
    <xf numFmtId="1" fontId="37" fillId="32" borderId="10" xfId="0" applyNumberFormat="1" applyFont="1" applyFill="1" applyBorder="1" applyAlignment="1">
      <alignment vertical="center"/>
    </xf>
    <xf numFmtId="2" fontId="43" fillId="0" borderId="10" xfId="0" applyNumberFormat="1" applyFont="1" applyBorder="1" applyAlignment="1">
      <alignment vertical="center"/>
    </xf>
    <xf numFmtId="0" fontId="62" fillId="0" borderId="4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2" fontId="62" fillId="0" borderId="10" xfId="0" applyNumberFormat="1" applyFont="1" applyBorder="1" applyAlignment="1">
      <alignment vertical="center"/>
    </xf>
    <xf numFmtId="2" fontId="43" fillId="0" borderId="40" xfId="0" applyNumberFormat="1" applyFont="1" applyBorder="1" applyAlignment="1">
      <alignment vertical="center"/>
    </xf>
    <xf numFmtId="2" fontId="62" fillId="0" borderId="87" xfId="0" applyNumberFormat="1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2" fontId="62" fillId="0" borderId="88" xfId="0" applyNumberFormat="1" applyFont="1" applyBorder="1" applyAlignment="1">
      <alignment vertical="center"/>
    </xf>
    <xf numFmtId="2" fontId="62" fillId="0" borderId="84" xfId="0" applyNumberFormat="1" applyFont="1" applyBorder="1" applyAlignment="1">
      <alignment vertical="center"/>
    </xf>
    <xf numFmtId="2" fontId="62" fillId="0" borderId="40" xfId="0" applyNumberFormat="1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62" fillId="0" borderId="35" xfId="0" applyFont="1" applyBorder="1" applyAlignment="1">
      <alignment vertical="center"/>
    </xf>
    <xf numFmtId="2" fontId="62" fillId="0" borderId="47" xfId="0" applyNumberFormat="1" applyFont="1" applyBorder="1" applyAlignment="1">
      <alignment vertical="center"/>
    </xf>
    <xf numFmtId="0" fontId="62" fillId="0" borderId="31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1" fillId="0" borderId="37" xfId="0" applyFont="1" applyBorder="1" applyAlignment="1">
      <alignment horizontal="right" vertical="center"/>
    </xf>
    <xf numFmtId="2" fontId="43" fillId="0" borderId="38" xfId="0" applyNumberFormat="1" applyFont="1" applyBorder="1" applyAlignment="1">
      <alignment vertical="center"/>
    </xf>
    <xf numFmtId="0" fontId="61" fillId="0" borderId="10" xfId="0" applyFont="1" applyBorder="1" applyAlignment="1">
      <alignment horizontal="right" vertical="center"/>
    </xf>
    <xf numFmtId="0" fontId="61" fillId="0" borderId="10" xfId="0" applyFont="1" applyBorder="1" applyAlignment="1">
      <alignment vertical="center"/>
    </xf>
    <xf numFmtId="0" fontId="61" fillId="0" borderId="4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60" fillId="32" borderId="37" xfId="0" applyFont="1" applyFill="1" applyBorder="1" applyAlignment="1">
      <alignment horizontal="center" vertical="center" wrapText="1"/>
    </xf>
    <xf numFmtId="0" fontId="60" fillId="32" borderId="37" xfId="0" applyFont="1" applyFill="1" applyBorder="1" applyAlignment="1" quotePrefix="1">
      <alignment horizontal="center" vertical="center"/>
    </xf>
    <xf numFmtId="0" fontId="60" fillId="32" borderId="37" xfId="0" applyFont="1" applyFill="1" applyBorder="1" applyAlignment="1">
      <alignment horizontal="center" vertical="center"/>
    </xf>
    <xf numFmtId="0" fontId="60" fillId="32" borderId="38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 quotePrefix="1">
      <alignment horizontal="center" vertical="center"/>
    </xf>
    <xf numFmtId="0" fontId="60" fillId="32" borderId="10" xfId="0" applyFont="1" applyFill="1" applyBorder="1" applyAlignment="1">
      <alignment horizontal="center" vertical="center"/>
    </xf>
    <xf numFmtId="0" fontId="60" fillId="32" borderId="40" xfId="0" applyFont="1" applyFill="1" applyBorder="1" applyAlignment="1">
      <alignment horizontal="center" vertical="center"/>
    </xf>
    <xf numFmtId="0" fontId="60" fillId="32" borderId="41" xfId="0" applyFont="1" applyFill="1" applyBorder="1" applyAlignment="1">
      <alignment horizontal="center" vertical="center" wrapText="1"/>
    </xf>
    <xf numFmtId="0" fontId="60" fillId="32" borderId="41" xfId="0" applyFont="1" applyFill="1" applyBorder="1" applyAlignment="1" quotePrefix="1">
      <alignment horizontal="center" vertical="center"/>
    </xf>
    <xf numFmtId="0" fontId="60" fillId="32" borderId="41" xfId="0" applyFont="1" applyFill="1" applyBorder="1" applyAlignment="1">
      <alignment horizontal="center" vertical="center"/>
    </xf>
    <xf numFmtId="0" fontId="60" fillId="32" borderId="43" xfId="0" applyFont="1" applyFill="1" applyBorder="1" applyAlignment="1">
      <alignment horizontal="center" vertical="center"/>
    </xf>
    <xf numFmtId="0" fontId="62" fillId="0" borderId="20" xfId="0" applyFont="1" applyBorder="1" applyAlignment="1">
      <alignment vertical="center"/>
    </xf>
    <xf numFmtId="0" fontId="60" fillId="32" borderId="64" xfId="0" applyFont="1" applyFill="1" applyBorder="1" applyAlignment="1" quotePrefix="1">
      <alignment horizontal="center" vertical="center"/>
    </xf>
    <xf numFmtId="0" fontId="60" fillId="32" borderId="35" xfId="0" applyFont="1" applyFill="1" applyBorder="1" applyAlignment="1">
      <alignment horizontal="center" vertical="center"/>
    </xf>
    <xf numFmtId="0" fontId="60" fillId="32" borderId="35" xfId="0" applyFont="1" applyFill="1" applyBorder="1" applyAlignment="1">
      <alignment horizontal="center" vertical="center" wrapText="1"/>
    </xf>
    <xf numFmtId="0" fontId="60" fillId="32" borderId="23" xfId="0" applyFont="1" applyFill="1" applyBorder="1" applyAlignment="1" quotePrefix="1">
      <alignment horizontal="center" vertical="center"/>
    </xf>
    <xf numFmtId="0" fontId="60" fillId="32" borderId="24" xfId="0" applyFont="1" applyFill="1" applyBorder="1" applyAlignment="1">
      <alignment vertical="center"/>
    </xf>
    <xf numFmtId="0" fontId="60" fillId="32" borderId="25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/>
    </xf>
    <xf numFmtId="1" fontId="17" fillId="32" borderId="30" xfId="0" applyNumberFormat="1" applyFont="1" applyFill="1" applyBorder="1" applyAlignment="1">
      <alignment/>
    </xf>
    <xf numFmtId="1" fontId="17" fillId="32" borderId="33" xfId="0" applyNumberFormat="1" applyFont="1" applyFill="1" applyBorder="1" applyAlignment="1">
      <alignment/>
    </xf>
    <xf numFmtId="1" fontId="17" fillId="32" borderId="33" xfId="0" applyNumberFormat="1" applyFont="1" applyFill="1" applyBorder="1" applyAlignment="1" quotePrefix="1">
      <alignment horizontal="right"/>
    </xf>
    <xf numFmtId="14" fontId="25" fillId="0" borderId="10" xfId="0" applyNumberFormat="1" applyFont="1" applyBorder="1" applyAlignment="1">
      <alignment horizontal="center" vertical="center"/>
    </xf>
    <xf numFmtId="0" fontId="119" fillId="0" borderId="10" xfId="0" applyFont="1" applyBorder="1" applyAlignment="1">
      <alignment horizontal="center"/>
    </xf>
    <xf numFmtId="0" fontId="120" fillId="0" borderId="37" xfId="0" applyFont="1" applyBorder="1" applyAlignment="1">
      <alignment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43" xfId="0" applyBorder="1" applyAlignment="1">
      <alignment/>
    </xf>
    <xf numFmtId="14" fontId="14" fillId="0" borderId="10" xfId="0" applyNumberFormat="1" applyFont="1" applyBorder="1" applyAlignment="1" quotePrefix="1">
      <alignment vertical="center"/>
    </xf>
    <xf numFmtId="1" fontId="121" fillId="32" borderId="17" xfId="0" applyNumberFormat="1" applyFont="1" applyFill="1" applyBorder="1" applyAlignment="1">
      <alignment/>
    </xf>
    <xf numFmtId="0" fontId="122" fillId="0" borderId="10" xfId="0" applyNumberFormat="1" applyFont="1" applyBorder="1" applyAlignment="1">
      <alignment horizontal="center"/>
    </xf>
    <xf numFmtId="2" fontId="123" fillId="0" borderId="40" xfId="0" applyNumberFormat="1" applyFont="1" applyBorder="1" applyAlignment="1">
      <alignment vertical="center"/>
    </xf>
    <xf numFmtId="2" fontId="123" fillId="0" borderId="85" xfId="0" applyNumberFormat="1" applyFont="1" applyBorder="1" applyAlignment="1">
      <alignment vertical="center"/>
    </xf>
    <xf numFmtId="2" fontId="123" fillId="0" borderId="10" xfId="0" applyNumberFormat="1" applyFont="1" applyBorder="1" applyAlignment="1">
      <alignment vertical="center"/>
    </xf>
    <xf numFmtId="183" fontId="25" fillId="0" borderId="10" xfId="0" applyNumberFormat="1" applyFont="1" applyBorder="1" applyAlignment="1" quotePrefix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" fontId="0" fillId="32" borderId="19" xfId="0" applyNumberFormat="1" applyFont="1" applyFill="1" applyBorder="1" applyAlignment="1">
      <alignment/>
    </xf>
    <xf numFmtId="1" fontId="0" fillId="32" borderId="58" xfId="0" applyNumberFormat="1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124" fillId="0" borderId="10" xfId="0" applyFont="1" applyBorder="1" applyAlignment="1">
      <alignment horizontal="center"/>
    </xf>
    <xf numFmtId="0" fontId="125" fillId="0" borderId="10" xfId="0" applyFont="1" applyFill="1" applyBorder="1" applyAlignment="1">
      <alignment/>
    </xf>
    <xf numFmtId="0" fontId="126" fillId="0" borderId="10" xfId="0" applyFont="1" applyBorder="1" applyAlignment="1">
      <alignment horizontal="left"/>
    </xf>
    <xf numFmtId="0" fontId="68" fillId="32" borderId="0" xfId="0" applyFont="1" applyFill="1" applyAlignment="1">
      <alignment wrapText="1"/>
    </xf>
    <xf numFmtId="0" fontId="59" fillId="32" borderId="0" xfId="0" applyFont="1" applyFill="1" applyAlignment="1">
      <alignment vertical="center"/>
    </xf>
    <xf numFmtId="184" fontId="12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1" fillId="42" borderId="81" xfId="0" applyFont="1" applyFill="1" applyBorder="1" applyAlignment="1">
      <alignment horizontal="center"/>
    </xf>
    <xf numFmtId="0" fontId="42" fillId="42" borderId="37" xfId="0" applyFont="1" applyFill="1" applyBorder="1" applyAlignment="1">
      <alignment horizontal="center"/>
    </xf>
    <xf numFmtId="0" fontId="11" fillId="42" borderId="38" xfId="0" applyFont="1" applyFill="1" applyBorder="1" applyAlignment="1">
      <alignment horizontal="center"/>
    </xf>
    <xf numFmtId="0" fontId="11" fillId="42" borderId="82" xfId="0" applyFont="1" applyFill="1" applyBorder="1" applyAlignment="1">
      <alignment horizontal="center"/>
    </xf>
    <xf numFmtId="0" fontId="42" fillId="42" borderId="41" xfId="0" applyFont="1" applyFill="1" applyBorder="1" applyAlignment="1">
      <alignment horizontal="center"/>
    </xf>
    <xf numFmtId="0" fontId="11" fillId="42" borderId="43" xfId="0" applyFont="1" applyFill="1" applyBorder="1" applyAlignment="1">
      <alignment horizontal="center"/>
    </xf>
    <xf numFmtId="17" fontId="11" fillId="42" borderId="63" xfId="0" applyNumberFormat="1" applyFont="1" applyFill="1" applyBorder="1" applyAlignment="1">
      <alignment horizontal="left"/>
    </xf>
    <xf numFmtId="0" fontId="11" fillId="42" borderId="36" xfId="0" applyFont="1" applyFill="1" applyBorder="1" applyAlignment="1">
      <alignment horizontal="right"/>
    </xf>
    <xf numFmtId="0" fontId="11" fillId="42" borderId="37" xfId="0" applyFont="1" applyFill="1" applyBorder="1" applyAlignment="1">
      <alignment/>
    </xf>
    <xf numFmtId="0" fontId="11" fillId="42" borderId="37" xfId="0" applyFont="1" applyFill="1" applyBorder="1" applyAlignment="1" quotePrefix="1">
      <alignment/>
    </xf>
    <xf numFmtId="0" fontId="128" fillId="42" borderId="37" xfId="0" applyFont="1" applyFill="1" applyBorder="1" applyAlignment="1">
      <alignment/>
    </xf>
    <xf numFmtId="0" fontId="128" fillId="42" borderId="38" xfId="0" applyFont="1" applyFill="1" applyBorder="1" applyAlignment="1">
      <alignment/>
    </xf>
    <xf numFmtId="1" fontId="11" fillId="42" borderId="48" xfId="0" applyNumberFormat="1" applyFont="1" applyFill="1" applyBorder="1" applyAlignment="1">
      <alignment/>
    </xf>
    <xf numFmtId="1" fontId="19" fillId="42" borderId="83" xfId="0" applyNumberFormat="1" applyFont="1" applyFill="1" applyBorder="1" applyAlignment="1">
      <alignment/>
    </xf>
    <xf numFmtId="0" fontId="19" fillId="42" borderId="35" xfId="0" applyFont="1" applyFill="1" applyBorder="1" applyAlignment="1" quotePrefix="1">
      <alignment/>
    </xf>
    <xf numFmtId="0" fontId="19" fillId="42" borderId="35" xfId="0" applyFont="1" applyFill="1" applyBorder="1" applyAlignment="1">
      <alignment/>
    </xf>
    <xf numFmtId="0" fontId="19" fillId="42" borderId="84" xfId="0" applyFont="1" applyFill="1" applyBorder="1" applyAlignment="1">
      <alignment/>
    </xf>
    <xf numFmtId="1" fontId="2" fillId="0" borderId="47" xfId="0" applyNumberFormat="1" applyFont="1" applyBorder="1" applyAlignment="1">
      <alignment/>
    </xf>
    <xf numFmtId="17" fontId="11" fillId="42" borderId="11" xfId="0" applyNumberFormat="1" applyFont="1" applyFill="1" applyBorder="1" applyAlignment="1">
      <alignment horizontal="left"/>
    </xf>
    <xf numFmtId="0" fontId="11" fillId="42" borderId="39" xfId="0" applyNumberFormat="1" applyFont="1" applyFill="1" applyBorder="1" applyAlignment="1" quotePrefix="1">
      <alignment horizontal="right"/>
    </xf>
    <xf numFmtId="0" fontId="11" fillId="42" borderId="10" xfId="0" applyFont="1" applyFill="1" applyBorder="1" applyAlignment="1">
      <alignment/>
    </xf>
    <xf numFmtId="0" fontId="11" fillId="42" borderId="10" xfId="0" applyFont="1" applyFill="1" applyBorder="1" applyAlignment="1" quotePrefix="1">
      <alignment horizontal="right"/>
    </xf>
    <xf numFmtId="0" fontId="11" fillId="42" borderId="40" xfId="0" applyFont="1" applyFill="1" applyBorder="1" applyAlignment="1">
      <alignment/>
    </xf>
    <xf numFmtId="1" fontId="11" fillId="42" borderId="57" xfId="0" applyNumberFormat="1" applyFont="1" applyFill="1" applyBorder="1" applyAlignment="1">
      <alignment/>
    </xf>
    <xf numFmtId="1" fontId="2" fillId="0" borderId="31" xfId="0" applyNumberFormat="1" applyFont="1" applyBorder="1" applyAlignment="1">
      <alignment/>
    </xf>
    <xf numFmtId="0" fontId="8" fillId="42" borderId="10" xfId="0" applyFont="1" applyFill="1" applyBorder="1" applyAlignment="1">
      <alignment horizontal="center"/>
    </xf>
    <xf numFmtId="0" fontId="11" fillId="42" borderId="39" xfId="0" applyNumberFormat="1" applyFont="1" applyFill="1" applyBorder="1" applyAlignment="1">
      <alignment horizontal="right"/>
    </xf>
    <xf numFmtId="0" fontId="11" fillId="42" borderId="39" xfId="0" applyFont="1" applyFill="1" applyBorder="1" applyAlignment="1">
      <alignment/>
    </xf>
    <xf numFmtId="0" fontId="127" fillId="0" borderId="23" xfId="0" applyFont="1" applyBorder="1" applyAlignment="1">
      <alignment/>
    </xf>
    <xf numFmtId="0" fontId="129" fillId="0" borderId="49" xfId="0" applyFont="1" applyBorder="1" applyAlignment="1">
      <alignment horizontal="center"/>
    </xf>
    <xf numFmtId="0" fontId="2" fillId="42" borderId="49" xfId="0" applyFont="1" applyFill="1" applyBorder="1" applyAlignment="1">
      <alignment horizontal="center"/>
    </xf>
    <xf numFmtId="2" fontId="6" fillId="0" borderId="24" xfId="0" applyNumberFormat="1" applyFont="1" applyBorder="1" applyAlignment="1" quotePrefix="1">
      <alignment horizontal="center"/>
    </xf>
    <xf numFmtId="2" fontId="11" fillId="43" borderId="13" xfId="0" applyNumberFormat="1" applyFont="1" applyFill="1" applyBorder="1" applyAlignment="1">
      <alignment horizontal="right"/>
    </xf>
    <xf numFmtId="1" fontId="6" fillId="0" borderId="31" xfId="0" applyNumberFormat="1" applyFont="1" applyBorder="1" applyAlignment="1">
      <alignment/>
    </xf>
    <xf numFmtId="0" fontId="2" fillId="0" borderId="19" xfId="0" applyFont="1" applyBorder="1" applyAlignment="1">
      <alignment/>
    </xf>
    <xf numFmtId="2" fontId="2" fillId="43" borderId="13" xfId="0" applyNumberFormat="1" applyFont="1" applyFill="1" applyBorder="1" applyAlignment="1">
      <alignment/>
    </xf>
    <xf numFmtId="17" fontId="11" fillId="42" borderId="11" xfId="0" applyNumberFormat="1" applyFont="1" applyFill="1" applyBorder="1" applyAlignment="1">
      <alignment horizontal="center"/>
    </xf>
    <xf numFmtId="0" fontId="2" fillId="0" borderId="58" xfId="0" applyFont="1" applyBorder="1" applyAlignment="1">
      <alignment/>
    </xf>
    <xf numFmtId="17" fontId="11" fillId="42" borderId="11" xfId="0" applyNumberFormat="1" applyFont="1" applyFill="1" applyBorder="1" applyAlignment="1" quotePrefix="1">
      <alignment horizontal="center"/>
    </xf>
    <xf numFmtId="0" fontId="12" fillId="42" borderId="39" xfId="0" applyFont="1" applyFill="1" applyBorder="1" applyAlignment="1">
      <alignment/>
    </xf>
    <xf numFmtId="0" fontId="12" fillId="42" borderId="10" xfId="0" applyFont="1" applyFill="1" applyBorder="1" applyAlignment="1">
      <alignment/>
    </xf>
    <xf numFmtId="0" fontId="11" fillId="42" borderId="40" xfId="0" applyFont="1" applyFill="1" applyBorder="1" applyAlignment="1">
      <alignment horizontal="right"/>
    </xf>
    <xf numFmtId="1" fontId="11" fillId="42" borderId="57" xfId="0" applyNumberFormat="1" applyFont="1" applyFill="1" applyBorder="1" applyAlignment="1">
      <alignment horizontal="right"/>
    </xf>
    <xf numFmtId="1" fontId="0" fillId="0" borderId="31" xfId="0" applyNumberFormat="1" applyFont="1" applyBorder="1" applyAlignment="1">
      <alignment/>
    </xf>
    <xf numFmtId="0" fontId="52" fillId="42" borderId="49" xfId="0" applyFont="1" applyFill="1" applyBorder="1" applyAlignment="1">
      <alignment horizontal="center"/>
    </xf>
    <xf numFmtId="17" fontId="11" fillId="42" borderId="79" xfId="0" applyNumberFormat="1" applyFont="1" applyFill="1" applyBorder="1" applyAlignment="1" quotePrefix="1">
      <alignment horizontal="center"/>
    </xf>
    <xf numFmtId="0" fontId="12" fillId="42" borderId="55" xfId="0" applyFont="1" applyFill="1" applyBorder="1" applyAlignment="1">
      <alignment/>
    </xf>
    <xf numFmtId="0" fontId="12" fillId="42" borderId="41" xfId="0" applyFont="1" applyFill="1" applyBorder="1" applyAlignment="1">
      <alignment/>
    </xf>
    <xf numFmtId="0" fontId="11" fillId="42" borderId="43" xfId="0" applyFont="1" applyFill="1" applyBorder="1" applyAlignment="1">
      <alignment horizontal="right"/>
    </xf>
    <xf numFmtId="1" fontId="11" fillId="42" borderId="65" xfId="0" applyNumberFormat="1" applyFont="1" applyFill="1" applyBorder="1" applyAlignment="1">
      <alignment horizontal="right"/>
    </xf>
    <xf numFmtId="0" fontId="11" fillId="42" borderId="50" xfId="0" applyFont="1" applyFill="1" applyBorder="1" applyAlignment="1">
      <alignment/>
    </xf>
    <xf numFmtId="0" fontId="11" fillId="42" borderId="24" xfId="0" applyFont="1" applyFill="1" applyBorder="1" applyAlignment="1">
      <alignment/>
    </xf>
    <xf numFmtId="0" fontId="11" fillId="42" borderId="85" xfId="0" applyFont="1" applyFill="1" applyBorder="1" applyAlignment="1">
      <alignment/>
    </xf>
    <xf numFmtId="1" fontId="0" fillId="0" borderId="75" xfId="0" applyNumberFormat="1" applyFont="1" applyBorder="1" applyAlignment="1">
      <alignment/>
    </xf>
    <xf numFmtId="0" fontId="52" fillId="42" borderId="49" xfId="0" applyFont="1" applyFill="1" applyBorder="1" applyAlignment="1">
      <alignment/>
    </xf>
    <xf numFmtId="0" fontId="11" fillId="42" borderId="26" xfId="0" applyFont="1" applyFill="1" applyBorder="1" applyAlignment="1">
      <alignment/>
    </xf>
    <xf numFmtId="0" fontId="11" fillId="42" borderId="77" xfId="0" applyFont="1" applyFill="1" applyBorder="1" applyAlignment="1">
      <alignment/>
    </xf>
    <xf numFmtId="0" fontId="11" fillId="42" borderId="80" xfId="0" applyFont="1" applyFill="1" applyBorder="1" applyAlignment="1">
      <alignment/>
    </xf>
    <xf numFmtId="1" fontId="11" fillId="42" borderId="58" xfId="0" applyNumberFormat="1" applyFont="1" applyFill="1" applyBorder="1" applyAlignment="1">
      <alignment/>
    </xf>
    <xf numFmtId="0" fontId="11" fillId="42" borderId="21" xfId="0" applyFont="1" applyFill="1" applyBorder="1" applyAlignment="1">
      <alignment/>
    </xf>
    <xf numFmtId="0" fontId="11" fillId="42" borderId="22" xfId="0" applyFont="1" applyFill="1" applyBorder="1" applyAlignment="1">
      <alignment/>
    </xf>
    <xf numFmtId="0" fontId="11" fillId="42" borderId="42" xfId="0" applyFont="1" applyFill="1" applyBorder="1" applyAlignment="1">
      <alignment/>
    </xf>
    <xf numFmtId="1" fontId="6" fillId="32" borderId="27" xfId="0" applyNumberFormat="1" applyFont="1" applyFill="1" applyBorder="1" applyAlignment="1">
      <alignment/>
    </xf>
    <xf numFmtId="1" fontId="0" fillId="42" borderId="49" xfId="0" applyNumberFormat="1" applyFill="1" applyBorder="1" applyAlignment="1">
      <alignment horizontal="center" vertical="center"/>
    </xf>
    <xf numFmtId="0" fontId="11" fillId="32" borderId="44" xfId="0" applyFont="1" applyFill="1" applyBorder="1" applyAlignment="1">
      <alignment/>
    </xf>
    <xf numFmtId="0" fontId="11" fillId="32" borderId="45" xfId="0" applyFont="1" applyFill="1" applyBorder="1" applyAlignment="1">
      <alignment/>
    </xf>
    <xf numFmtId="0" fontId="11" fillId="32" borderId="46" xfId="0" applyFont="1" applyFill="1" applyBorder="1" applyAlignment="1">
      <alignment/>
    </xf>
    <xf numFmtId="1" fontId="19" fillId="32" borderId="45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45" fillId="32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19" fillId="32" borderId="19" xfId="0" applyFont="1" applyFill="1" applyBorder="1" applyAlignment="1">
      <alignment/>
    </xf>
    <xf numFmtId="0" fontId="45" fillId="32" borderId="19" xfId="0" applyFont="1" applyFill="1" applyBorder="1" applyAlignment="1">
      <alignment/>
    </xf>
    <xf numFmtId="1" fontId="45" fillId="32" borderId="19" xfId="0" applyNumberFormat="1" applyFont="1" applyFill="1" applyBorder="1" applyAlignment="1" quotePrefix="1">
      <alignment horizontal="right"/>
    </xf>
    <xf numFmtId="0" fontId="45" fillId="32" borderId="20" xfId="0" applyFont="1" applyFill="1" applyBorder="1" applyAlignment="1">
      <alignment horizontal="center"/>
    </xf>
    <xf numFmtId="1" fontId="11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45" fillId="32" borderId="0" xfId="0" applyFont="1" applyFill="1" applyBorder="1" applyAlignment="1">
      <alignment/>
    </xf>
    <xf numFmtId="1" fontId="45" fillId="32" borderId="0" xfId="0" applyNumberFormat="1" applyFont="1" applyFill="1" applyBorder="1" applyAlignment="1" quotePrefix="1">
      <alignment horizontal="right"/>
    </xf>
    <xf numFmtId="0" fontId="45" fillId="32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33" fillId="0" borderId="0" xfId="0" applyFont="1" applyAlignment="1">
      <alignment horizontal="left" vertical="center" wrapText="1"/>
    </xf>
    <xf numFmtId="1" fontId="0" fillId="0" borderId="0" xfId="0" applyNumberFormat="1" applyAlignment="1">
      <alignment horizontal="center"/>
    </xf>
    <xf numFmtId="0" fontId="46" fillId="0" borderId="0" xfId="53" applyFont="1" applyAlignment="1" applyProtection="1">
      <alignment/>
      <protection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17" fontId="0" fillId="0" borderId="0" xfId="0" applyNumberFormat="1" applyFont="1" applyAlignment="1" quotePrefix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0" fillId="0" borderId="48" xfId="0" applyBorder="1" applyAlignment="1">
      <alignment/>
    </xf>
    <xf numFmtId="0" fontId="0" fillId="0" borderId="0" xfId="0" applyFill="1" applyBorder="1" applyAlignment="1">
      <alignment/>
    </xf>
    <xf numFmtId="0" fontId="15" fillId="0" borderId="10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1" fontId="14" fillId="0" borderId="24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1" fontId="14" fillId="0" borderId="42" xfId="0" applyNumberFormat="1" applyFont="1" applyBorder="1" applyAlignment="1">
      <alignment horizontal="right" vertical="center"/>
    </xf>
    <xf numFmtId="0" fontId="33" fillId="0" borderId="25" xfId="0" applyFont="1" applyBorder="1" applyAlignment="1">
      <alignment horizontal="center" vertical="center"/>
    </xf>
    <xf numFmtId="0" fontId="33" fillId="0" borderId="89" xfId="0" applyFont="1" applyBorder="1" applyAlignment="1">
      <alignment vertical="center"/>
    </xf>
    <xf numFmtId="0" fontId="11" fillId="0" borderId="89" xfId="0" applyFont="1" applyBorder="1" applyAlignment="1">
      <alignment/>
    </xf>
    <xf numFmtId="0" fontId="33" fillId="0" borderId="62" xfId="0" applyFont="1" applyBorder="1" applyAlignment="1">
      <alignment horizontal="center" vertical="center"/>
    </xf>
    <xf numFmtId="0" fontId="33" fillId="0" borderId="87" xfId="0" applyFont="1" applyBorder="1" applyAlignment="1">
      <alignment vertical="center"/>
    </xf>
    <xf numFmtId="0" fontId="11" fillId="0" borderId="87" xfId="0" applyFont="1" applyBorder="1" applyAlignment="1">
      <alignment/>
    </xf>
    <xf numFmtId="0" fontId="130" fillId="0" borderId="62" xfId="0" applyFont="1" applyBorder="1" applyAlignment="1">
      <alignment horizontal="center" vertical="center"/>
    </xf>
    <xf numFmtId="0" fontId="130" fillId="0" borderId="87" xfId="0" applyFont="1" applyBorder="1" applyAlignment="1">
      <alignment vertical="center"/>
    </xf>
    <xf numFmtId="0" fontId="128" fillId="0" borderId="87" xfId="0" applyFont="1" applyBorder="1" applyAlignment="1">
      <alignment/>
    </xf>
    <xf numFmtId="0" fontId="11" fillId="0" borderId="7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9" xfId="0" applyFont="1" applyBorder="1" applyAlignment="1">
      <alignment/>
    </xf>
    <xf numFmtId="1" fontId="11" fillId="0" borderId="89" xfId="0" applyNumberFormat="1" applyFont="1" applyBorder="1" applyAlignment="1">
      <alignment/>
    </xf>
    <xf numFmtId="0" fontId="33" fillId="19" borderId="62" xfId="0" applyFont="1" applyFill="1" applyBorder="1" applyAlignment="1">
      <alignment horizontal="center" vertical="center"/>
    </xf>
    <xf numFmtId="0" fontId="33" fillId="19" borderId="87" xfId="0" applyFont="1" applyFill="1" applyBorder="1" applyAlignment="1">
      <alignment vertical="center"/>
    </xf>
    <xf numFmtId="1" fontId="11" fillId="0" borderId="87" xfId="0" applyNumberFormat="1" applyFont="1" applyBorder="1" applyAlignment="1">
      <alignment/>
    </xf>
    <xf numFmtId="1" fontId="14" fillId="0" borderId="89" xfId="0" applyNumberFormat="1" applyFont="1" applyBorder="1" applyAlignment="1">
      <alignment vertical="center"/>
    </xf>
    <xf numFmtId="0" fontId="26" fillId="0" borderId="64" xfId="0" applyFont="1" applyBorder="1" applyAlignment="1">
      <alignment horizontal="center" vertical="center"/>
    </xf>
    <xf numFmtId="0" fontId="26" fillId="0" borderId="76" xfId="0" applyFont="1" applyBorder="1" applyAlignment="1">
      <alignment vertical="center"/>
    </xf>
    <xf numFmtId="1" fontId="14" fillId="0" borderId="76" xfId="0" applyNumberFormat="1" applyFont="1" applyBorder="1" applyAlignment="1">
      <alignment vertical="center"/>
    </xf>
    <xf numFmtId="1" fontId="131" fillId="0" borderId="76" xfId="0" applyNumberFormat="1" applyFont="1" applyBorder="1" applyAlignment="1">
      <alignment vertical="center"/>
    </xf>
    <xf numFmtId="0" fontId="2" fillId="0" borderId="87" xfId="0" applyFont="1" applyBorder="1" applyAlignment="1">
      <alignment/>
    </xf>
    <xf numFmtId="0" fontId="33" fillId="0" borderId="64" xfId="0" applyFont="1" applyBorder="1" applyAlignment="1">
      <alignment horizontal="center" vertical="center"/>
    </xf>
    <xf numFmtId="0" fontId="33" fillId="0" borderId="76" xfId="0" applyFont="1" applyBorder="1" applyAlignment="1">
      <alignment vertical="center"/>
    </xf>
    <xf numFmtId="1" fontId="14" fillId="0" borderId="35" xfId="0" applyNumberFormat="1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49" xfId="0" applyFont="1" applyBorder="1" applyAlignment="1">
      <alignment vertical="center"/>
    </xf>
    <xf numFmtId="0" fontId="33" fillId="0" borderId="23" xfId="0" applyFont="1" applyBorder="1" applyAlignment="1">
      <alignment horizontal="center" vertical="center"/>
    </xf>
    <xf numFmtId="0" fontId="33" fillId="0" borderId="49" xfId="0" applyFont="1" applyBorder="1" applyAlignment="1">
      <alignment vertical="center"/>
    </xf>
    <xf numFmtId="1" fontId="35" fillId="0" borderId="49" xfId="0" applyNumberFormat="1" applyFont="1" applyBorder="1" applyAlignment="1">
      <alignment/>
    </xf>
    <xf numFmtId="0" fontId="33" fillId="0" borderId="62" xfId="0" applyFont="1" applyBorder="1" applyAlignment="1">
      <alignment vertical="center" wrapText="1"/>
    </xf>
    <xf numFmtId="0" fontId="33" fillId="0" borderId="87" xfId="0" applyFont="1" applyBorder="1" applyAlignment="1" quotePrefix="1">
      <alignment vertical="center" wrapText="1"/>
    </xf>
    <xf numFmtId="0" fontId="127" fillId="0" borderId="87" xfId="0" applyFont="1" applyBorder="1" applyAlignment="1">
      <alignment/>
    </xf>
    <xf numFmtId="0" fontId="33" fillId="0" borderId="62" xfId="0" applyFont="1" applyBorder="1" applyAlignment="1">
      <alignment vertical="center"/>
    </xf>
    <xf numFmtId="0" fontId="7" fillId="0" borderId="49" xfId="0" applyFont="1" applyBorder="1" applyAlignment="1">
      <alignment/>
    </xf>
    <xf numFmtId="1" fontId="132" fillId="32" borderId="49" xfId="0" applyNumberFormat="1" applyFont="1" applyFill="1" applyBorder="1" applyAlignment="1" quotePrefix="1">
      <alignment/>
    </xf>
    <xf numFmtId="1" fontId="7" fillId="0" borderId="49" xfId="0" applyNumberFormat="1" applyFont="1" applyBorder="1" applyAlignment="1">
      <alignment/>
    </xf>
    <xf numFmtId="0" fontId="7" fillId="0" borderId="87" xfId="0" applyFont="1" applyBorder="1" applyAlignment="1">
      <alignment/>
    </xf>
    <xf numFmtId="1" fontId="7" fillId="0" borderId="89" xfId="0" applyNumberFormat="1" applyFont="1" applyBorder="1" applyAlignment="1">
      <alignment/>
    </xf>
    <xf numFmtId="0" fontId="129" fillId="0" borderId="49" xfId="0" applyFont="1" applyBorder="1" applyAlignment="1">
      <alignment/>
    </xf>
    <xf numFmtId="1" fontId="129" fillId="0" borderId="49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32" borderId="74" xfId="0" applyFont="1" applyFill="1" applyBorder="1" applyAlignment="1">
      <alignment/>
    </xf>
    <xf numFmtId="1" fontId="133" fillId="32" borderId="17" xfId="0" applyNumberFormat="1" applyFont="1" applyFill="1" applyBorder="1" applyAlignment="1">
      <alignment/>
    </xf>
    <xf numFmtId="0" fontId="42" fillId="32" borderId="76" xfId="0" applyFont="1" applyFill="1" applyBorder="1" applyAlignment="1">
      <alignment/>
    </xf>
    <xf numFmtId="0" fontId="72" fillId="32" borderId="35" xfId="0" applyFont="1" applyFill="1" applyBorder="1" applyAlignment="1">
      <alignment horizontal="center"/>
    </xf>
    <xf numFmtId="0" fontId="42" fillId="32" borderId="74" xfId="0" applyFont="1" applyFill="1" applyBorder="1" applyAlignment="1">
      <alignment/>
    </xf>
    <xf numFmtId="0" fontId="42" fillId="32" borderId="30" xfId="0" applyFont="1" applyFill="1" applyBorder="1" applyAlignment="1">
      <alignment horizontal="center"/>
    </xf>
    <xf numFmtId="1" fontId="42" fillId="32" borderId="74" xfId="0" applyNumberFormat="1" applyFont="1" applyFill="1" applyBorder="1" applyAlignment="1">
      <alignment/>
    </xf>
    <xf numFmtId="0" fontId="42" fillId="32" borderId="49" xfId="0" applyFont="1" applyFill="1" applyBorder="1" applyAlignment="1">
      <alignment/>
    </xf>
    <xf numFmtId="0" fontId="54" fillId="32" borderId="10" xfId="0" applyFont="1" applyFill="1" applyBorder="1" applyAlignment="1">
      <alignment horizontal="center"/>
    </xf>
    <xf numFmtId="0" fontId="42" fillId="32" borderId="23" xfId="0" applyFont="1" applyFill="1" applyBorder="1" applyAlignment="1">
      <alignment horizontal="center"/>
    </xf>
    <xf numFmtId="1" fontId="42" fillId="32" borderId="30" xfId="0" applyNumberFormat="1" applyFont="1" applyFill="1" applyBorder="1" applyAlignment="1">
      <alignment/>
    </xf>
    <xf numFmtId="0" fontId="42" fillId="32" borderId="23" xfId="0" applyFont="1" applyFill="1" applyBorder="1" applyAlignment="1" quotePrefix="1">
      <alignment horizontal="center"/>
    </xf>
    <xf numFmtId="1" fontId="54" fillId="32" borderId="33" xfId="0" applyNumberFormat="1" applyFont="1" applyFill="1" applyBorder="1" applyAlignment="1">
      <alignment/>
    </xf>
    <xf numFmtId="0" fontId="54" fillId="32" borderId="23" xfId="0" applyFont="1" applyFill="1" applyBorder="1" applyAlignment="1">
      <alignment horizontal="center"/>
    </xf>
    <xf numFmtId="1" fontId="54" fillId="32" borderId="30" xfId="0" applyNumberFormat="1" applyFont="1" applyFill="1" applyBorder="1" applyAlignment="1">
      <alignment/>
    </xf>
    <xf numFmtId="1" fontId="54" fillId="32" borderId="33" xfId="0" applyNumberFormat="1" applyFont="1" applyFill="1" applyBorder="1" applyAlignment="1" quotePrefix="1">
      <alignment horizontal="right"/>
    </xf>
    <xf numFmtId="0" fontId="44" fillId="32" borderId="23" xfId="0" applyFont="1" applyFill="1" applyBorder="1" applyAlignment="1">
      <alignment vertical="center"/>
    </xf>
    <xf numFmtId="0" fontId="15" fillId="32" borderId="57" xfId="0" applyFont="1" applyFill="1" applyBorder="1" applyAlignment="1">
      <alignment vertical="center"/>
    </xf>
    <xf numFmtId="0" fontId="15" fillId="32" borderId="49" xfId="0" applyFont="1" applyFill="1" applyBorder="1" applyAlignment="1">
      <alignment vertical="center"/>
    </xf>
    <xf numFmtId="0" fontId="1" fillId="32" borderId="57" xfId="0" applyFont="1" applyFill="1" applyBorder="1" applyAlignment="1">
      <alignment/>
    </xf>
    <xf numFmtId="0" fontId="42" fillId="32" borderId="10" xfId="0" applyFont="1" applyFill="1" applyBorder="1" applyAlignment="1">
      <alignment/>
    </xf>
    <xf numFmtId="0" fontId="42" fillId="32" borderId="30" xfId="0" applyFont="1" applyFill="1" applyBorder="1" applyAlignment="1">
      <alignment/>
    </xf>
    <xf numFmtId="0" fontId="42" fillId="32" borderId="10" xfId="0" applyFont="1" applyFill="1" applyBorder="1" applyAlignment="1">
      <alignment horizontal="center"/>
    </xf>
    <xf numFmtId="0" fontId="1" fillId="32" borderId="23" xfId="0" applyFont="1" applyFill="1" applyBorder="1" applyAlignment="1">
      <alignment/>
    </xf>
    <xf numFmtId="1" fontId="42" fillId="32" borderId="30" xfId="0" applyNumberFormat="1" applyFont="1" applyFill="1" applyBorder="1" applyAlignment="1">
      <alignment horizontal="right"/>
    </xf>
    <xf numFmtId="0" fontId="42" fillId="32" borderId="23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1" fontId="42" fillId="0" borderId="74" xfId="0" applyNumberFormat="1" applyFont="1" applyBorder="1" applyAlignment="1">
      <alignment/>
    </xf>
    <xf numFmtId="1" fontId="42" fillId="32" borderId="33" xfId="0" applyNumberFormat="1" applyFont="1" applyFill="1" applyBorder="1" applyAlignment="1">
      <alignment/>
    </xf>
    <xf numFmtId="1" fontId="42" fillId="32" borderId="14" xfId="0" applyNumberFormat="1" applyFont="1" applyFill="1" applyBorder="1" applyAlignment="1">
      <alignment/>
    </xf>
    <xf numFmtId="1" fontId="72" fillId="32" borderId="72" xfId="0" applyNumberFormat="1" applyFont="1" applyFill="1" applyBorder="1" applyAlignment="1" quotePrefix="1">
      <alignment horizontal="right"/>
    </xf>
    <xf numFmtId="1" fontId="42" fillId="32" borderId="28" xfId="0" applyNumberFormat="1" applyFont="1" applyFill="1" applyBorder="1" applyAlignment="1">
      <alignment/>
    </xf>
    <xf numFmtId="1" fontId="72" fillId="32" borderId="23" xfId="0" applyNumberFormat="1" applyFont="1" applyFill="1" applyBorder="1" applyAlignment="1" quotePrefix="1">
      <alignment horizontal="right"/>
    </xf>
    <xf numFmtId="1" fontId="72" fillId="32" borderId="73" xfId="0" applyNumberFormat="1" applyFont="1" applyFill="1" applyBorder="1" applyAlignment="1" quotePrefix="1">
      <alignment horizontal="right"/>
    </xf>
    <xf numFmtId="0" fontId="1" fillId="32" borderId="30" xfId="0" applyFont="1" applyFill="1" applyBorder="1" applyAlignment="1">
      <alignment/>
    </xf>
    <xf numFmtId="0" fontId="1" fillId="32" borderId="49" xfId="0" applyFont="1" applyFill="1" applyBorder="1" applyAlignment="1">
      <alignment/>
    </xf>
    <xf numFmtId="1" fontId="54" fillId="32" borderId="51" xfId="0" applyNumberFormat="1" applyFont="1" applyFill="1" applyBorder="1" applyAlignment="1">
      <alignment horizontal="right"/>
    </xf>
    <xf numFmtId="1" fontId="42" fillId="32" borderId="17" xfId="0" applyNumberFormat="1" applyFont="1" applyFill="1" applyBorder="1" applyAlignment="1">
      <alignment/>
    </xf>
    <xf numFmtId="1" fontId="42" fillId="32" borderId="43" xfId="0" applyNumberFormat="1" applyFont="1" applyFill="1" applyBorder="1" applyAlignment="1" quotePrefix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32" borderId="48" xfId="0" applyFont="1" applyFill="1" applyBorder="1" applyAlignment="1">
      <alignment/>
    </xf>
    <xf numFmtId="0" fontId="1" fillId="0" borderId="36" xfId="0" applyFont="1" applyBorder="1" applyAlignment="1">
      <alignment/>
    </xf>
    <xf numFmtId="0" fontId="134" fillId="0" borderId="3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0" xfId="0" applyFont="1" applyBorder="1" applyAlignment="1">
      <alignment/>
    </xf>
    <xf numFmtId="1" fontId="49" fillId="32" borderId="15" xfId="0" applyNumberFormat="1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42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42" fillId="0" borderId="0" xfId="0" applyFont="1" applyAlignment="1">
      <alignment/>
    </xf>
    <xf numFmtId="1" fontId="5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/>
    </xf>
    <xf numFmtId="2" fontId="42" fillId="0" borderId="68" xfId="0" applyNumberFormat="1" applyFont="1" applyBorder="1" applyAlignment="1">
      <alignment horizontal="center"/>
    </xf>
    <xf numFmtId="0" fontId="54" fillId="0" borderId="64" xfId="0" applyFont="1" applyBorder="1" applyAlignment="1">
      <alignment horizontal="center"/>
    </xf>
    <xf numFmtId="1" fontId="42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 horizontal="center"/>
    </xf>
    <xf numFmtId="17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2" fontId="42" fillId="0" borderId="0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74" fillId="0" borderId="0" xfId="0" applyFont="1" applyBorder="1" applyAlignment="1">
      <alignment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42" fillId="32" borderId="0" xfId="0" applyFont="1" applyFill="1" applyBorder="1" applyAlignment="1">
      <alignment horizontal="center"/>
    </xf>
    <xf numFmtId="0" fontId="74" fillId="32" borderId="0" xfId="0" applyFont="1" applyFill="1" applyBorder="1" applyAlignment="1">
      <alignment/>
    </xf>
    <xf numFmtId="0" fontId="42" fillId="32" borderId="0" xfId="0" applyFont="1" applyFill="1" applyBorder="1" applyAlignment="1">
      <alignment/>
    </xf>
    <xf numFmtId="2" fontId="42" fillId="32" borderId="0" xfId="0" applyNumberFormat="1" applyFont="1" applyFill="1" applyBorder="1" applyAlignment="1">
      <alignment/>
    </xf>
    <xf numFmtId="0" fontId="42" fillId="32" borderId="13" xfId="0" applyFont="1" applyFill="1" applyBorder="1" applyAlignment="1">
      <alignment/>
    </xf>
    <xf numFmtId="0" fontId="1" fillId="32" borderId="0" xfId="0" applyFont="1" applyFill="1" applyBorder="1" applyAlignment="1">
      <alignment horizontal="left" vertical="top"/>
    </xf>
    <xf numFmtId="0" fontId="42" fillId="32" borderId="0" xfId="0" applyFont="1" applyFill="1" applyBorder="1" applyAlignment="1" quotePrefix="1">
      <alignment horizontal="center"/>
    </xf>
    <xf numFmtId="2" fontId="1" fillId="32" borderId="0" xfId="0" applyNumberFormat="1" applyFont="1" applyFill="1" applyBorder="1" applyAlignment="1">
      <alignment/>
    </xf>
    <xf numFmtId="2" fontId="1" fillId="32" borderId="19" xfId="0" applyNumberFormat="1" applyFont="1" applyFill="1" applyBorder="1" applyAlignment="1">
      <alignment/>
    </xf>
    <xf numFmtId="2" fontId="1" fillId="32" borderId="58" xfId="0" applyNumberFormat="1" applyFont="1" applyFill="1" applyBorder="1" applyAlignment="1">
      <alignment/>
    </xf>
    <xf numFmtId="1" fontId="54" fillId="32" borderId="0" xfId="0" applyNumberFormat="1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2" fontId="42" fillId="32" borderId="0" xfId="0" applyNumberFormat="1" applyFont="1" applyFill="1" applyBorder="1" applyAlignment="1">
      <alignment horizontal="right"/>
    </xf>
    <xf numFmtId="0" fontId="54" fillId="0" borderId="0" xfId="0" applyFont="1" applyAlignment="1" quotePrefix="1">
      <alignment/>
    </xf>
    <xf numFmtId="2" fontId="54" fillId="32" borderId="0" xfId="0" applyNumberFormat="1" applyFont="1" applyFill="1" applyBorder="1" applyAlignment="1">
      <alignment/>
    </xf>
    <xf numFmtId="0" fontId="1" fillId="32" borderId="12" xfId="0" applyFont="1" applyFill="1" applyBorder="1" applyAlignment="1" quotePrefix="1">
      <alignment/>
    </xf>
    <xf numFmtId="0" fontId="1" fillId="32" borderId="0" xfId="0" applyFont="1" applyFill="1" applyBorder="1" applyAlignment="1">
      <alignment horizontal="center"/>
    </xf>
    <xf numFmtId="2" fontId="42" fillId="32" borderId="0" xfId="0" applyNumberFormat="1" applyFont="1" applyFill="1" applyBorder="1" applyAlignment="1">
      <alignment horizontal="center"/>
    </xf>
    <xf numFmtId="0" fontId="42" fillId="32" borderId="12" xfId="0" applyFont="1" applyFill="1" applyBorder="1" applyAlignment="1">
      <alignment/>
    </xf>
    <xf numFmtId="0" fontId="42" fillId="32" borderId="12" xfId="0" applyFont="1" applyFill="1" applyBorder="1" applyAlignment="1" quotePrefix="1">
      <alignment horizontal="left" vertical="top"/>
    </xf>
    <xf numFmtId="0" fontId="42" fillId="32" borderId="12" xfId="0" applyFont="1" applyFill="1" applyBorder="1" applyAlignment="1">
      <alignment horizontal="left" vertical="top"/>
    </xf>
    <xf numFmtId="0" fontId="1" fillId="33" borderId="36" xfId="0" applyFont="1" applyFill="1" applyBorder="1" applyAlignment="1">
      <alignment horizontal="center"/>
    </xf>
    <xf numFmtId="0" fontId="1" fillId="32" borderId="52" xfId="0" applyFont="1" applyFill="1" applyBorder="1" applyAlignment="1">
      <alignment/>
    </xf>
    <xf numFmtId="0" fontId="42" fillId="32" borderId="52" xfId="0" applyFont="1" applyFill="1" applyBorder="1" applyAlignment="1">
      <alignment/>
    </xf>
    <xf numFmtId="2" fontId="1" fillId="32" borderId="37" xfId="0" applyNumberFormat="1" applyFont="1" applyFill="1" applyBorder="1" applyAlignment="1">
      <alignment/>
    </xf>
    <xf numFmtId="0" fontId="1" fillId="33" borderId="53" xfId="0" applyFont="1" applyFill="1" applyBorder="1" applyAlignment="1">
      <alignment horizontal="center"/>
    </xf>
    <xf numFmtId="0" fontId="42" fillId="32" borderId="35" xfId="0" applyFont="1" applyFill="1" applyBorder="1" applyAlignment="1">
      <alignment horizontal="center"/>
    </xf>
    <xf numFmtId="2" fontId="1" fillId="32" borderId="54" xfId="0" applyNumberFormat="1" applyFont="1" applyFill="1" applyBorder="1" applyAlignment="1">
      <alignment/>
    </xf>
    <xf numFmtId="0" fontId="1" fillId="33" borderId="55" xfId="0" applyFont="1" applyFill="1" applyBorder="1" applyAlignment="1">
      <alignment horizontal="center"/>
    </xf>
    <xf numFmtId="0" fontId="1" fillId="32" borderId="56" xfId="0" applyFont="1" applyFill="1" applyBorder="1" applyAlignment="1">
      <alignment/>
    </xf>
    <xf numFmtId="0" fontId="42" fillId="32" borderId="56" xfId="0" applyFont="1" applyFill="1" applyBorder="1" applyAlignment="1">
      <alignment/>
    </xf>
    <xf numFmtId="2" fontId="1" fillId="32" borderId="41" xfId="0" applyNumberFormat="1" applyFont="1" applyFill="1" applyBorder="1" applyAlignment="1">
      <alignment/>
    </xf>
    <xf numFmtId="0" fontId="1" fillId="32" borderId="36" xfId="0" applyFont="1" applyFill="1" applyBorder="1" applyAlignment="1">
      <alignment horizontal="center"/>
    </xf>
    <xf numFmtId="0" fontId="1" fillId="32" borderId="29" xfId="0" applyFont="1" applyFill="1" applyBorder="1" applyAlignment="1">
      <alignment/>
    </xf>
    <xf numFmtId="0" fontId="1" fillId="32" borderId="39" xfId="0" applyFont="1" applyFill="1" applyBorder="1" applyAlignment="1">
      <alignment horizontal="center"/>
    </xf>
    <xf numFmtId="0" fontId="1" fillId="32" borderId="57" xfId="0" applyFont="1" applyFill="1" applyBorder="1" applyAlignment="1">
      <alignment/>
    </xf>
    <xf numFmtId="0" fontId="42" fillId="32" borderId="57" xfId="0" applyFont="1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0" fontId="1" fillId="32" borderId="31" xfId="0" applyFont="1" applyFill="1" applyBorder="1" applyAlignment="1">
      <alignment/>
    </xf>
    <xf numFmtId="0" fontId="1" fillId="32" borderId="55" xfId="0" applyFont="1" applyFill="1" applyBorder="1" applyAlignment="1">
      <alignment horizontal="center"/>
    </xf>
    <xf numFmtId="0" fontId="1" fillId="32" borderId="34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2" borderId="58" xfId="0" applyFont="1" applyFill="1" applyBorder="1" applyAlignment="1">
      <alignment/>
    </xf>
    <xf numFmtId="0" fontId="1" fillId="0" borderId="58" xfId="0" applyFont="1" applyBorder="1" applyAlignment="1">
      <alignment/>
    </xf>
    <xf numFmtId="0" fontId="42" fillId="32" borderId="58" xfId="0" applyFont="1" applyFill="1" applyBorder="1" applyAlignment="1">
      <alignment/>
    </xf>
    <xf numFmtId="0" fontId="42" fillId="32" borderId="22" xfId="0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27" fillId="0" borderId="10" xfId="0" applyFont="1" applyBorder="1" applyAlignment="1">
      <alignment horizontal="center" vertical="center"/>
    </xf>
    <xf numFmtId="1" fontId="128" fillId="0" borderId="87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2" fillId="0" borderId="89" xfId="0" applyNumberFormat="1" applyFont="1" applyBorder="1" applyAlignment="1">
      <alignment/>
    </xf>
    <xf numFmtId="1" fontId="127" fillId="0" borderId="35" xfId="0" applyNumberFormat="1" applyFont="1" applyBorder="1" applyAlignment="1">
      <alignment/>
    </xf>
    <xf numFmtId="2" fontId="127" fillId="0" borderId="68" xfId="0" applyNumberFormat="1" applyFont="1" applyBorder="1" applyAlignment="1">
      <alignment horizontal="center"/>
    </xf>
    <xf numFmtId="1" fontId="135" fillId="0" borderId="64" xfId="0" applyNumberFormat="1" applyFont="1" applyBorder="1" applyAlignment="1">
      <alignment horizontal="center"/>
    </xf>
    <xf numFmtId="0" fontId="65" fillId="32" borderId="12" xfId="0" applyFont="1" applyFill="1" applyBorder="1" applyAlignment="1">
      <alignment horizontal="center"/>
    </xf>
    <xf numFmtId="0" fontId="65" fillId="32" borderId="0" xfId="0" applyFont="1" applyFill="1" applyBorder="1" applyAlignment="1">
      <alignment horizontal="center"/>
    </xf>
    <xf numFmtId="0" fontId="65" fillId="32" borderId="13" xfId="0" applyFont="1" applyFill="1" applyBorder="1" applyAlignment="1">
      <alignment horizontal="center"/>
    </xf>
    <xf numFmtId="0" fontId="11" fillId="32" borderId="68" xfId="0" applyFont="1" applyFill="1" applyBorder="1" applyAlignment="1">
      <alignment/>
    </xf>
    <xf numFmtId="0" fontId="11" fillId="32" borderId="52" xfId="0" applyFont="1" applyFill="1" applyBorder="1" applyAlignment="1">
      <alignment/>
    </xf>
    <xf numFmtId="0" fontId="11" fillId="32" borderId="81" xfId="0" applyFont="1" applyFill="1" applyBorder="1" applyAlignment="1">
      <alignment/>
    </xf>
    <xf numFmtId="0" fontId="57" fillId="32" borderId="44" xfId="0" applyFont="1" applyFill="1" applyBorder="1" applyAlignment="1">
      <alignment horizontal="center"/>
    </xf>
    <xf numFmtId="0" fontId="57" fillId="32" borderId="45" xfId="0" applyFont="1" applyFill="1" applyBorder="1" applyAlignment="1">
      <alignment horizontal="center"/>
    </xf>
    <xf numFmtId="0" fontId="57" fillId="32" borderId="46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left"/>
    </xf>
    <xf numFmtId="0" fontId="2" fillId="32" borderId="57" xfId="0" applyFont="1" applyFill="1" applyBorder="1" applyAlignment="1">
      <alignment horizontal="left"/>
    </xf>
    <xf numFmtId="0" fontId="2" fillId="32" borderId="49" xfId="0" applyFont="1" applyFill="1" applyBorder="1" applyAlignment="1">
      <alignment horizontal="left"/>
    </xf>
    <xf numFmtId="0" fontId="56" fillId="40" borderId="11" xfId="0" applyFont="1" applyFill="1" applyBorder="1" applyAlignment="1">
      <alignment horizontal="center"/>
    </xf>
    <xf numFmtId="0" fontId="56" fillId="40" borderId="57" xfId="0" applyFont="1" applyFill="1" applyBorder="1" applyAlignment="1">
      <alignment horizontal="center"/>
    </xf>
    <xf numFmtId="0" fontId="44" fillId="32" borderId="23" xfId="0" applyFont="1" applyFill="1" applyBorder="1" applyAlignment="1">
      <alignment horizontal="left" vertical="center"/>
    </xf>
    <xf numFmtId="0" fontId="44" fillId="32" borderId="57" xfId="0" applyFont="1" applyFill="1" applyBorder="1" applyAlignment="1">
      <alignment horizontal="left" vertical="center"/>
    </xf>
    <xf numFmtId="0" fontId="44" fillId="32" borderId="49" xfId="0" applyFont="1" applyFill="1" applyBorder="1" applyAlignment="1">
      <alignment horizontal="left" vertical="center"/>
    </xf>
    <xf numFmtId="0" fontId="43" fillId="32" borderId="23" xfId="0" applyFont="1" applyFill="1" applyBorder="1" applyAlignment="1">
      <alignment horizontal="left" vertical="center"/>
    </xf>
    <xf numFmtId="0" fontId="43" fillId="32" borderId="57" xfId="0" applyFont="1" applyFill="1" applyBorder="1" applyAlignment="1">
      <alignment horizontal="left" vertical="center"/>
    </xf>
    <xf numFmtId="0" fontId="43" fillId="32" borderId="49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42" borderId="49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/>
    </xf>
    <xf numFmtId="0" fontId="6" fillId="32" borderId="57" xfId="0" applyFont="1" applyFill="1" applyBorder="1" applyAlignment="1">
      <alignment horizontal="left"/>
    </xf>
    <xf numFmtId="0" fontId="6" fillId="32" borderId="49" xfId="0" applyFont="1" applyFill="1" applyBorder="1" applyAlignment="1">
      <alignment horizontal="left"/>
    </xf>
    <xf numFmtId="0" fontId="11" fillId="32" borderId="11" xfId="0" applyFont="1" applyFill="1" applyBorder="1" applyAlignment="1">
      <alignment horizontal="left"/>
    </xf>
    <xf numFmtId="0" fontId="11" fillId="32" borderId="57" xfId="0" applyFont="1" applyFill="1" applyBorder="1" applyAlignment="1">
      <alignment horizontal="left"/>
    </xf>
    <xf numFmtId="0" fontId="11" fillId="32" borderId="49" xfId="0" applyFont="1" applyFill="1" applyBorder="1" applyAlignment="1">
      <alignment horizontal="left"/>
    </xf>
    <xf numFmtId="0" fontId="2" fillId="32" borderId="64" xfId="0" applyFont="1" applyFill="1" applyBorder="1" applyAlignment="1">
      <alignment horizontal="left"/>
    </xf>
    <xf numFmtId="0" fontId="2" fillId="32" borderId="48" xfId="0" applyFont="1" applyFill="1" applyBorder="1" applyAlignment="1">
      <alignment horizontal="left"/>
    </xf>
    <xf numFmtId="0" fontId="2" fillId="32" borderId="31" xfId="0" applyFont="1" applyFill="1" applyBorder="1" applyAlignment="1">
      <alignment horizontal="left"/>
    </xf>
    <xf numFmtId="0" fontId="2" fillId="32" borderId="26" xfId="0" applyFont="1" applyFill="1" applyBorder="1" applyAlignment="1">
      <alignment horizontal="center"/>
    </xf>
    <xf numFmtId="0" fontId="2" fillId="32" borderId="86" xfId="0" applyFont="1" applyFill="1" applyBorder="1" applyAlignment="1">
      <alignment horizontal="center"/>
    </xf>
    <xf numFmtId="0" fontId="2" fillId="32" borderId="72" xfId="0" applyFont="1" applyFill="1" applyBorder="1" applyAlignment="1">
      <alignment horizontal="left"/>
    </xf>
    <xf numFmtId="0" fontId="2" fillId="32" borderId="52" xfId="0" applyFont="1" applyFill="1" applyBorder="1" applyAlignment="1">
      <alignment horizontal="left"/>
    </xf>
    <xf numFmtId="0" fontId="2" fillId="32" borderId="81" xfId="0" applyFont="1" applyFill="1" applyBorder="1" applyAlignment="1">
      <alignment horizontal="left"/>
    </xf>
    <xf numFmtId="0" fontId="6" fillId="40" borderId="11" xfId="0" applyFont="1" applyFill="1" applyBorder="1" applyAlignment="1">
      <alignment horizontal="left"/>
    </xf>
    <xf numFmtId="0" fontId="6" fillId="40" borderId="57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57" xfId="0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0" fontId="59" fillId="32" borderId="0" xfId="0" applyFont="1" applyFill="1" applyAlignment="1">
      <alignment horizontal="center"/>
    </xf>
    <xf numFmtId="0" fontId="59" fillId="32" borderId="0" xfId="0" applyFont="1" applyFill="1" applyAlignment="1">
      <alignment horizontal="center" vertical="center"/>
    </xf>
    <xf numFmtId="0" fontId="14" fillId="32" borderId="23" xfId="0" applyFont="1" applyFill="1" applyBorder="1" applyAlignment="1">
      <alignment horizontal="left" vertical="center"/>
    </xf>
    <xf numFmtId="0" fontId="14" fillId="32" borderId="57" xfId="0" applyFont="1" applyFill="1" applyBorder="1" applyAlignment="1">
      <alignment horizontal="left" vertical="center"/>
    </xf>
    <xf numFmtId="0" fontId="14" fillId="32" borderId="49" xfId="0" applyFont="1" applyFill="1" applyBorder="1" applyAlignment="1">
      <alignment horizontal="left" vertical="center"/>
    </xf>
    <xf numFmtId="0" fontId="43" fillId="32" borderId="23" xfId="0" applyFont="1" applyFill="1" applyBorder="1" applyAlignment="1">
      <alignment horizontal="left" vertical="center"/>
    </xf>
    <xf numFmtId="0" fontId="43" fillId="32" borderId="57" xfId="0" applyFont="1" applyFill="1" applyBorder="1" applyAlignment="1">
      <alignment horizontal="left" vertical="center"/>
    </xf>
    <xf numFmtId="0" fontId="43" fillId="32" borderId="49" xfId="0" applyFont="1" applyFill="1" applyBorder="1" applyAlignment="1">
      <alignment horizontal="left" vertical="center"/>
    </xf>
    <xf numFmtId="0" fontId="54" fillId="0" borderId="44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42" fillId="4" borderId="28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/>
    </xf>
    <xf numFmtId="2" fontId="0" fillId="32" borderId="73" xfId="0" applyNumberFormat="1" applyFont="1" applyFill="1" applyBorder="1" applyAlignment="1">
      <alignment horizontal="right"/>
    </xf>
    <xf numFmtId="0" fontId="0" fillId="32" borderId="56" xfId="0" applyFont="1" applyFill="1" applyBorder="1" applyAlignment="1">
      <alignment horizontal="right"/>
    </xf>
    <xf numFmtId="0" fontId="0" fillId="32" borderId="34" xfId="0" applyFont="1" applyFill="1" applyBorder="1" applyAlignment="1">
      <alignment horizontal="right"/>
    </xf>
    <xf numFmtId="0" fontId="5" fillId="32" borderId="11" xfId="0" applyFont="1" applyFill="1" applyBorder="1" applyAlignment="1">
      <alignment horizontal="left"/>
    </xf>
    <xf numFmtId="0" fontId="5" fillId="32" borderId="57" xfId="0" applyFont="1" applyFill="1" applyBorder="1" applyAlignment="1">
      <alignment horizontal="left"/>
    </xf>
    <xf numFmtId="2" fontId="0" fillId="32" borderId="51" xfId="0" applyNumberFormat="1" applyFont="1" applyFill="1" applyBorder="1" applyAlignment="1">
      <alignment horizontal="right"/>
    </xf>
    <xf numFmtId="0" fontId="0" fillId="32" borderId="58" xfId="0" applyFont="1" applyFill="1" applyBorder="1" applyAlignment="1">
      <alignment horizontal="right"/>
    </xf>
    <xf numFmtId="0" fontId="0" fillId="32" borderId="27" xfId="0" applyFont="1" applyFill="1" applyBorder="1" applyAlignment="1">
      <alignment horizontal="right"/>
    </xf>
    <xf numFmtId="0" fontId="0" fillId="32" borderId="72" xfId="0" applyFont="1" applyFill="1" applyBorder="1" applyAlignment="1">
      <alignment horizontal="center"/>
    </xf>
    <xf numFmtId="0" fontId="0" fillId="32" borderId="52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57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justify" vertical="top"/>
    </xf>
    <xf numFmtId="0" fontId="2" fillId="32" borderId="0" xfId="0" applyFont="1" applyFill="1" applyBorder="1" applyAlignment="1">
      <alignment horizontal="justify" vertical="top"/>
    </xf>
    <xf numFmtId="0" fontId="0" fillId="0" borderId="51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3" borderId="0" xfId="0" applyFont="1" applyFill="1" applyBorder="1" applyAlignment="1">
      <alignment/>
    </xf>
    <xf numFmtId="0" fontId="42" fillId="40" borderId="61" xfId="0" applyFont="1" applyFill="1" applyBorder="1" applyAlignment="1">
      <alignment horizontal="center" vertical="center"/>
    </xf>
    <xf numFmtId="0" fontId="42" fillId="40" borderId="80" xfId="0" applyFont="1" applyFill="1" applyBorder="1" applyAlignment="1">
      <alignment horizontal="center" vertical="center"/>
    </xf>
    <xf numFmtId="0" fontId="16" fillId="32" borderId="26" xfId="0" applyFont="1" applyFill="1" applyBorder="1" applyAlignment="1">
      <alignment horizontal="center"/>
    </xf>
    <xf numFmtId="0" fontId="16" fillId="32" borderId="58" xfId="0" applyFont="1" applyFill="1" applyBorder="1" applyAlignment="1">
      <alignment horizontal="center"/>
    </xf>
    <xf numFmtId="0" fontId="16" fillId="32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42" fillId="4" borderId="3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2" fillId="32" borderId="68" xfId="0" applyFont="1" applyFill="1" applyBorder="1" applyAlignment="1">
      <alignment horizontal="left"/>
    </xf>
    <xf numFmtId="0" fontId="2" fillId="32" borderId="29" xfId="0" applyFont="1" applyFill="1" applyBorder="1" applyAlignment="1">
      <alignment horizontal="left"/>
    </xf>
    <xf numFmtId="0" fontId="42" fillId="4" borderId="38" xfId="0" applyFont="1" applyFill="1" applyBorder="1" applyAlignment="1">
      <alignment horizontal="center" vertical="center"/>
    </xf>
    <xf numFmtId="0" fontId="1" fillId="4" borderId="85" xfId="0" applyFont="1" applyFill="1" applyBorder="1" applyAlignment="1">
      <alignment horizontal="center" vertical="center"/>
    </xf>
    <xf numFmtId="0" fontId="42" fillId="4" borderId="29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left"/>
    </xf>
    <xf numFmtId="0" fontId="42" fillId="4" borderId="36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42" fillId="4" borderId="37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32" borderId="73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2" fillId="32" borderId="13" xfId="0" applyFont="1" applyFill="1" applyBorder="1" applyAlignment="1">
      <alignment horizontal="left"/>
    </xf>
    <xf numFmtId="17" fontId="0" fillId="0" borderId="72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7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5" xfId="0" applyBorder="1" applyAlignment="1">
      <alignment horizontal="center"/>
    </xf>
    <xf numFmtId="0" fontId="42" fillId="32" borderId="26" xfId="0" applyFont="1" applyFill="1" applyBorder="1" applyAlignment="1">
      <alignment horizontal="left" vertical="center" wrapText="1"/>
    </xf>
    <xf numFmtId="0" fontId="42" fillId="32" borderId="58" xfId="0" applyFont="1" applyFill="1" applyBorder="1" applyAlignment="1">
      <alignment horizontal="left" vertical="center" wrapText="1"/>
    </xf>
    <xf numFmtId="0" fontId="42" fillId="32" borderId="27" xfId="0" applyFont="1" applyFill="1" applyBorder="1" applyAlignment="1">
      <alignment horizontal="left" vertical="center" wrapText="1"/>
    </xf>
    <xf numFmtId="0" fontId="122" fillId="44" borderId="13" xfId="0" applyFont="1" applyFill="1" applyBorder="1" applyAlignment="1">
      <alignment horizontal="justify" vertical="center"/>
    </xf>
    <xf numFmtId="0" fontId="0" fillId="45" borderId="13" xfId="0" applyFill="1" applyBorder="1" applyAlignment="1">
      <alignment horizontal="justify" vertical="center"/>
    </xf>
    <xf numFmtId="0" fontId="6" fillId="0" borderId="24" xfId="0" applyFont="1" applyBorder="1" applyAlignment="1">
      <alignment horizontal="justify" vertical="top"/>
    </xf>
    <xf numFmtId="0" fontId="6" fillId="0" borderId="35" xfId="0" applyFont="1" applyBorder="1" applyAlignment="1">
      <alignment horizontal="justify" vertical="top"/>
    </xf>
    <xf numFmtId="0" fontId="2" fillId="32" borderId="10" xfId="0" applyFont="1" applyFill="1" applyBorder="1" applyAlignment="1">
      <alignment horizontal="left"/>
    </xf>
    <xf numFmtId="0" fontId="11" fillId="32" borderId="79" xfId="0" applyFont="1" applyFill="1" applyBorder="1" applyAlignment="1">
      <alignment horizontal="left"/>
    </xf>
    <xf numFmtId="0" fontId="11" fillId="32" borderId="56" xfId="0" applyFont="1" applyFill="1" applyBorder="1" applyAlignment="1">
      <alignment horizontal="left"/>
    </xf>
    <xf numFmtId="0" fontId="11" fillId="32" borderId="82" xfId="0" applyFont="1" applyFill="1" applyBorder="1" applyAlignment="1">
      <alignment horizontal="left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57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43" fillId="0" borderId="85" xfId="0" applyNumberFormat="1" applyFont="1" applyBorder="1" applyAlignment="1" quotePrefix="1">
      <alignment horizontal="right" vertical="center"/>
    </xf>
    <xf numFmtId="2" fontId="43" fillId="0" borderId="88" xfId="0" applyNumberFormat="1" applyFont="1" applyBorder="1" applyAlignment="1">
      <alignment horizontal="right" vertical="center"/>
    </xf>
    <xf numFmtId="2" fontId="43" fillId="0" borderId="78" xfId="0" applyNumberFormat="1" applyFont="1" applyBorder="1" applyAlignment="1">
      <alignment horizontal="right" vertical="center"/>
    </xf>
    <xf numFmtId="0" fontId="27" fillId="0" borderId="41" xfId="0" applyFont="1" applyBorder="1" applyAlignment="1">
      <alignment horizontal="center" vertical="center"/>
    </xf>
    <xf numFmtId="1" fontId="27" fillId="0" borderId="41" xfId="0" applyNumberFormat="1" applyFont="1" applyBorder="1" applyAlignment="1">
      <alignment horizontal="center" vertical="center"/>
    </xf>
    <xf numFmtId="1" fontId="27" fillId="0" borderId="43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40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1" fontId="27" fillId="0" borderId="72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left" vertical="center"/>
    </xf>
    <xf numFmtId="0" fontId="28" fillId="0" borderId="82" xfId="0" applyFont="1" applyBorder="1" applyAlignment="1">
      <alignment horizontal="left" vertical="center"/>
    </xf>
    <xf numFmtId="0" fontId="35" fillId="0" borderId="44" xfId="0" applyFont="1" applyBorder="1" applyAlignment="1">
      <alignment horizontal="center" wrapText="1"/>
    </xf>
    <xf numFmtId="0" fontId="35" fillId="0" borderId="45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35" fillId="0" borderId="13" xfId="0" applyFont="1" applyBorder="1" applyAlignment="1">
      <alignment horizontal="center" wrapText="1"/>
    </xf>
    <xf numFmtId="0" fontId="34" fillId="0" borderId="18" xfId="0" applyFont="1" applyBorder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34" fillId="0" borderId="20" xfId="0" applyFont="1" applyBorder="1" applyAlignment="1">
      <alignment horizontal="center" vertical="top"/>
    </xf>
    <xf numFmtId="0" fontId="28" fillId="0" borderId="44" xfId="0" applyFont="1" applyBorder="1" applyAlignment="1">
      <alignment horizontal="justify" vertical="top" wrapText="1"/>
    </xf>
    <xf numFmtId="0" fontId="28" fillId="0" borderId="45" xfId="0" applyFont="1" applyBorder="1" applyAlignment="1">
      <alignment horizontal="justify" vertical="top" wrapText="1"/>
    </xf>
    <xf numFmtId="0" fontId="28" fillId="0" borderId="46" xfId="0" applyFont="1" applyBorder="1" applyAlignment="1">
      <alignment horizontal="justify" vertical="top" wrapText="1"/>
    </xf>
    <xf numFmtId="0" fontId="28" fillId="0" borderId="12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justify" vertical="top" wrapText="1"/>
    </xf>
    <xf numFmtId="0" fontId="28" fillId="0" borderId="13" xfId="0" applyFont="1" applyBorder="1" applyAlignment="1">
      <alignment horizontal="justify" vertical="top" wrapText="1"/>
    </xf>
    <xf numFmtId="0" fontId="28" fillId="0" borderId="18" xfId="0" applyFont="1" applyBorder="1" applyAlignment="1">
      <alignment horizontal="justify" vertical="top" wrapText="1"/>
    </xf>
    <xf numFmtId="0" fontId="28" fillId="0" borderId="19" xfId="0" applyFont="1" applyBorder="1" applyAlignment="1">
      <alignment horizontal="justify" vertical="top" wrapText="1"/>
    </xf>
    <xf numFmtId="0" fontId="28" fillId="0" borderId="20" xfId="0" applyFont="1" applyBorder="1" applyAlignment="1">
      <alignment horizontal="justify" vertical="top" wrapText="1"/>
    </xf>
    <xf numFmtId="2" fontId="43" fillId="0" borderId="85" xfId="0" applyNumberFormat="1" applyFont="1" applyBorder="1" applyAlignment="1">
      <alignment horizontal="right" vertical="center"/>
    </xf>
    <xf numFmtId="2" fontId="43" fillId="0" borderId="84" xfId="0" applyNumberFormat="1" applyFont="1" applyBorder="1" applyAlignment="1">
      <alignment horizontal="right" vertical="center"/>
    </xf>
    <xf numFmtId="0" fontId="27" fillId="0" borderId="61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7" fillId="0" borderId="36" xfId="0" applyFont="1" applyBorder="1" applyAlignment="1">
      <alignment horizontal="justify" vertical="center"/>
    </xf>
    <xf numFmtId="0" fontId="27" fillId="0" borderId="37" xfId="0" applyFont="1" applyBorder="1" applyAlignment="1">
      <alignment horizontal="justify" vertical="center"/>
    </xf>
    <xf numFmtId="0" fontId="27" fillId="0" borderId="38" xfId="0" applyFont="1" applyBorder="1" applyAlignment="1">
      <alignment horizontal="justify" vertical="center"/>
    </xf>
    <xf numFmtId="0" fontId="27" fillId="0" borderId="39" xfId="0" applyFont="1" applyBorder="1" applyAlignment="1">
      <alignment horizontal="justify" vertical="center"/>
    </xf>
    <xf numFmtId="0" fontId="27" fillId="0" borderId="10" xfId="0" applyFont="1" applyBorder="1" applyAlignment="1">
      <alignment horizontal="justify" vertical="center"/>
    </xf>
    <xf numFmtId="0" fontId="27" fillId="0" borderId="40" xfId="0" applyFont="1" applyBorder="1" applyAlignment="1">
      <alignment horizontal="justify" vertical="center"/>
    </xf>
    <xf numFmtId="0" fontId="27" fillId="0" borderId="55" xfId="0" applyFont="1" applyBorder="1" applyAlignment="1">
      <alignment horizontal="justify" vertical="center"/>
    </xf>
    <xf numFmtId="0" fontId="27" fillId="0" borderId="41" xfId="0" applyFont="1" applyBorder="1" applyAlignment="1">
      <alignment horizontal="justify" vertical="center"/>
    </xf>
    <xf numFmtId="0" fontId="27" fillId="0" borderId="43" xfId="0" applyFont="1" applyBorder="1" applyAlignment="1">
      <alignment horizontal="justify" vertical="center"/>
    </xf>
    <xf numFmtId="0" fontId="15" fillId="0" borderId="4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87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48" xfId="0" applyFont="1" applyBorder="1" applyAlignment="1">
      <alignment horizontal="left" vertical="center"/>
    </xf>
    <xf numFmtId="0" fontId="28" fillId="0" borderId="76" xfId="0" applyFont="1" applyBorder="1" applyAlignment="1">
      <alignment horizontal="left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center" wrapText="1"/>
    </xf>
    <xf numFmtId="0" fontId="31" fillId="0" borderId="58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top"/>
    </xf>
    <xf numFmtId="0" fontId="28" fillId="0" borderId="90" xfId="0" applyFont="1" applyBorder="1" applyAlignment="1">
      <alignment horizontal="left" vertical="top"/>
    </xf>
    <xf numFmtId="0" fontId="28" fillId="0" borderId="62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9" fillId="0" borderId="23" xfId="0" applyFont="1" applyBorder="1" applyAlignment="1">
      <alignment horizontal="left" vertical="top" wrapText="1" shrinkToFit="1"/>
    </xf>
    <xf numFmtId="0" fontId="28" fillId="0" borderId="57" xfId="0" applyFont="1" applyBorder="1" applyAlignment="1">
      <alignment horizontal="left" vertical="top" wrapText="1" shrinkToFit="1"/>
    </xf>
    <xf numFmtId="0" fontId="62" fillId="0" borderId="57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49" fontId="28" fillId="0" borderId="44" xfId="0" applyNumberFormat="1" applyFont="1" applyBorder="1" applyAlignment="1">
      <alignment horizontal="left" vertical="top"/>
    </xf>
    <xf numFmtId="49" fontId="28" fillId="0" borderId="12" xfId="0" applyNumberFormat="1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4" fillId="0" borderId="45" xfId="0" applyFont="1" applyBorder="1" applyAlignment="1">
      <alignment horizontal="left" vertical="top"/>
    </xf>
    <xf numFmtId="0" fontId="14" fillId="0" borderId="46" xfId="0" applyFont="1" applyBorder="1" applyAlignment="1">
      <alignment horizontal="left" vertical="top"/>
    </xf>
    <xf numFmtId="0" fontId="27" fillId="0" borderId="4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top" wrapText="1"/>
    </xf>
    <xf numFmtId="0" fontId="28" fillId="0" borderId="57" xfId="0" applyFont="1" applyBorder="1" applyAlignment="1">
      <alignment horizontal="left" vertical="top" wrapText="1"/>
    </xf>
    <xf numFmtId="0" fontId="28" fillId="0" borderId="64" xfId="0" applyFont="1" applyBorder="1" applyAlignment="1">
      <alignment horizontal="left" vertical="center"/>
    </xf>
    <xf numFmtId="0" fontId="28" fillId="0" borderId="64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28" fillId="0" borderId="65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top"/>
    </xf>
    <xf numFmtId="0" fontId="28" fillId="0" borderId="65" xfId="0" applyFont="1" applyBorder="1" applyAlignment="1">
      <alignment horizontal="left" vertical="top"/>
    </xf>
    <xf numFmtId="0" fontId="28" fillId="0" borderId="89" xfId="0" applyFont="1" applyBorder="1" applyAlignment="1">
      <alignment horizontal="left" vertical="top"/>
    </xf>
    <xf numFmtId="0" fontId="62" fillId="0" borderId="0" xfId="0" applyFont="1" applyBorder="1" applyAlignment="1">
      <alignment horizontal="center" vertical="center"/>
    </xf>
    <xf numFmtId="0" fontId="28" fillId="0" borderId="48" xfId="0" applyFont="1" applyBorder="1" applyAlignment="1">
      <alignment horizontal="left" vertical="top"/>
    </xf>
    <xf numFmtId="0" fontId="28" fillId="0" borderId="76" xfId="0" applyFont="1" applyBorder="1" applyAlignment="1">
      <alignment horizontal="left" vertical="top"/>
    </xf>
    <xf numFmtId="0" fontId="62" fillId="0" borderId="48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top"/>
    </xf>
    <xf numFmtId="0" fontId="28" fillId="0" borderId="87" xfId="0" applyFont="1" applyBorder="1" applyAlignment="1">
      <alignment horizontal="left" vertical="top"/>
    </xf>
    <xf numFmtId="0" fontId="62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1" fontId="39" fillId="0" borderId="40" xfId="0" applyNumberFormat="1" applyFont="1" applyBorder="1" applyAlignment="1">
      <alignment horizontal="center" vertical="center"/>
    </xf>
    <xf numFmtId="49" fontId="27" fillId="0" borderId="55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9" fontId="28" fillId="0" borderId="68" xfId="0" applyNumberFormat="1" applyFont="1" applyBorder="1" applyAlignment="1">
      <alignment horizontal="left" vertical="top"/>
    </xf>
    <xf numFmtId="49" fontId="28" fillId="0" borderId="11" xfId="0" applyNumberFormat="1" applyFont="1" applyBorder="1" applyAlignment="1">
      <alignment horizontal="left" vertical="top"/>
    </xf>
    <xf numFmtId="0" fontId="28" fillId="0" borderId="37" xfId="0" applyFont="1" applyBorder="1" applyAlignment="1">
      <alignment horizontal="left" vertical="top"/>
    </xf>
    <xf numFmtId="0" fontId="28" fillId="0" borderId="72" xfId="0" applyFont="1" applyBorder="1" applyAlignment="1">
      <alignment horizontal="left" vertical="top"/>
    </xf>
    <xf numFmtId="0" fontId="28" fillId="0" borderId="37" xfId="0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40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1" fontId="39" fillId="0" borderId="72" xfId="0" applyNumberFormat="1" applyFont="1" applyBorder="1" applyAlignment="1">
      <alignment horizontal="center" vertical="center"/>
    </xf>
    <xf numFmtId="1" fontId="39" fillId="0" borderId="29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/>
    </xf>
    <xf numFmtId="0" fontId="63" fillId="0" borderId="72" xfId="0" applyFont="1" applyBorder="1" applyAlignment="1">
      <alignment horizontal="left" vertical="center"/>
    </xf>
    <xf numFmtId="0" fontId="64" fillId="0" borderId="52" xfId="0" applyFont="1" applyBorder="1" applyAlignment="1">
      <alignment horizontal="left" vertical="center"/>
    </xf>
    <xf numFmtId="0" fontId="64" fillId="0" borderId="29" xfId="0" applyFont="1" applyBorder="1" applyAlignment="1">
      <alignment horizontal="left" vertical="center"/>
    </xf>
    <xf numFmtId="0" fontId="38" fillId="0" borderId="68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8" fillId="0" borderId="81" xfId="0" applyFont="1" applyBorder="1" applyAlignment="1">
      <alignment horizontal="left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" fontId="37" fillId="0" borderId="22" xfId="0" applyNumberFormat="1" applyFont="1" applyBorder="1" applyAlignment="1">
      <alignment horizontal="center" vertical="center"/>
    </xf>
    <xf numFmtId="1" fontId="37" fillId="0" borderId="42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5" fillId="0" borderId="5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2" fontId="43" fillId="32" borderId="25" xfId="0" applyNumberFormat="1" applyFont="1" applyFill="1" applyBorder="1" applyAlignment="1">
      <alignment horizontal="right" vertical="center"/>
    </xf>
    <xf numFmtId="2" fontId="43" fillId="32" borderId="89" xfId="0" applyNumberFormat="1" applyFont="1" applyFill="1" applyBorder="1" applyAlignment="1">
      <alignment horizontal="right" vertical="center"/>
    </xf>
    <xf numFmtId="0" fontId="25" fillId="32" borderId="24" xfId="0" applyFont="1" applyFill="1" applyBorder="1" applyAlignment="1" quotePrefix="1">
      <alignment horizontal="center" vertical="center"/>
    </xf>
    <xf numFmtId="0" fontId="25" fillId="32" borderId="85" xfId="0" applyFont="1" applyFill="1" applyBorder="1" applyAlignment="1" quotePrefix="1">
      <alignment horizontal="center" vertical="center"/>
    </xf>
    <xf numFmtId="2" fontId="43" fillId="32" borderId="51" xfId="0" applyNumberFormat="1" applyFont="1" applyFill="1" applyBorder="1" applyAlignment="1">
      <alignment horizontal="right" vertical="center"/>
    </xf>
    <xf numFmtId="2" fontId="43" fillId="32" borderId="86" xfId="0" applyNumberFormat="1" applyFont="1" applyFill="1" applyBorder="1" applyAlignment="1">
      <alignment horizontal="right" vertical="center"/>
    </xf>
    <xf numFmtId="0" fontId="25" fillId="32" borderId="22" xfId="0" applyFont="1" applyFill="1" applyBorder="1" applyAlignment="1" quotePrefix="1">
      <alignment horizontal="center" vertical="center"/>
    </xf>
    <xf numFmtId="0" fontId="25" fillId="32" borderId="42" xfId="0" applyFont="1" applyFill="1" applyBorder="1" applyAlignment="1" quotePrefix="1">
      <alignment horizontal="center" vertical="center"/>
    </xf>
    <xf numFmtId="2" fontId="43" fillId="32" borderId="23" xfId="0" applyNumberFormat="1" applyFont="1" applyFill="1" applyBorder="1" applyAlignment="1">
      <alignment horizontal="right" vertical="center"/>
    </xf>
    <xf numFmtId="2" fontId="43" fillId="32" borderId="49" xfId="0" applyNumberFormat="1" applyFont="1" applyFill="1" applyBorder="1" applyAlignment="1">
      <alignment horizontal="right" vertical="center"/>
    </xf>
    <xf numFmtId="0" fontId="25" fillId="32" borderId="10" xfId="0" applyFont="1" applyFill="1" applyBorder="1" applyAlignment="1" quotePrefix="1">
      <alignment horizontal="center" vertical="center"/>
    </xf>
    <xf numFmtId="0" fontId="25" fillId="32" borderId="40" xfId="0" applyFont="1" applyFill="1" applyBorder="1" applyAlignment="1" quotePrefix="1">
      <alignment horizontal="center" vertical="center"/>
    </xf>
    <xf numFmtId="0" fontId="34" fillId="0" borderId="58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/>
    </xf>
    <xf numFmtId="0" fontId="27" fillId="0" borderId="51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2" fontId="43" fillId="32" borderId="64" xfId="0" applyNumberFormat="1" applyFont="1" applyFill="1" applyBorder="1" applyAlignment="1">
      <alignment horizontal="right" vertical="center"/>
    </xf>
    <xf numFmtId="2" fontId="43" fillId="32" borderId="76" xfId="0" applyNumberFormat="1" applyFont="1" applyFill="1" applyBorder="1" applyAlignment="1">
      <alignment horizontal="right" vertical="center"/>
    </xf>
    <xf numFmtId="0" fontId="25" fillId="32" borderId="62" xfId="0" applyFont="1" applyFill="1" applyBorder="1" applyAlignment="1" quotePrefix="1">
      <alignment horizontal="center" vertical="center"/>
    </xf>
    <xf numFmtId="0" fontId="25" fillId="32" borderId="0" xfId="0" applyFont="1" applyFill="1" applyBorder="1" applyAlignment="1" quotePrefix="1">
      <alignment horizontal="center" vertical="center"/>
    </xf>
    <xf numFmtId="0" fontId="25" fillId="32" borderId="13" xfId="0" applyFont="1" applyFill="1" applyBorder="1" applyAlignment="1" quotePrefix="1">
      <alignment horizontal="center" vertical="center"/>
    </xf>
    <xf numFmtId="0" fontId="39" fillId="0" borderId="22" xfId="0" applyFont="1" applyBorder="1" applyAlignment="1">
      <alignment horizontal="center" vertical="center"/>
    </xf>
    <xf numFmtId="1" fontId="39" fillId="0" borderId="51" xfId="0" applyNumberFormat="1" applyFont="1" applyBorder="1" applyAlignment="1">
      <alignment horizontal="center" vertical="center"/>
    </xf>
    <xf numFmtId="1" fontId="39" fillId="0" borderId="27" xfId="0" applyNumberFormat="1" applyFont="1" applyBorder="1" applyAlignment="1">
      <alignment horizontal="center" vertical="center"/>
    </xf>
    <xf numFmtId="182" fontId="27" fillId="0" borderId="21" xfId="0" applyNumberFormat="1" applyFont="1" applyBorder="1" applyAlignment="1">
      <alignment horizontal="center" vertical="center"/>
    </xf>
    <xf numFmtId="182" fontId="27" fillId="0" borderId="22" xfId="0" applyNumberFormat="1" applyFont="1" applyBorder="1" applyAlignment="1">
      <alignment horizontal="center" vertical="center"/>
    </xf>
    <xf numFmtId="182" fontId="27" fillId="0" borderId="42" xfId="0" applyNumberFormat="1" applyFont="1" applyBorder="1" applyAlignment="1">
      <alignment horizontal="center" vertical="center"/>
    </xf>
    <xf numFmtId="0" fontId="35" fillId="0" borderId="46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34" fillId="0" borderId="13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182" fontId="27" fillId="0" borderId="36" xfId="0" applyNumberFormat="1" applyFont="1" applyBorder="1" applyAlignment="1">
      <alignment horizontal="center" vertical="center"/>
    </xf>
    <xf numFmtId="182" fontId="27" fillId="0" borderId="37" xfId="0" applyNumberFormat="1" applyFont="1" applyBorder="1" applyAlignment="1">
      <alignment horizontal="center" vertical="center"/>
    </xf>
    <xf numFmtId="182" fontId="27" fillId="0" borderId="38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68" fillId="32" borderId="0" xfId="0" applyFont="1" applyFill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27" fillId="33" borderId="23" xfId="0" applyFont="1" applyFill="1" applyBorder="1" applyAlignment="1">
      <alignment horizontal="center"/>
    </xf>
    <xf numFmtId="0" fontId="127" fillId="33" borderId="57" xfId="0" applyFont="1" applyFill="1" applyBorder="1" applyAlignment="1">
      <alignment horizontal="center"/>
    </xf>
    <xf numFmtId="0" fontId="127" fillId="33" borderId="49" xfId="0" applyFont="1" applyFill="1" applyBorder="1" applyAlignment="1">
      <alignment horizontal="center"/>
    </xf>
    <xf numFmtId="0" fontId="42" fillId="42" borderId="61" xfId="0" applyFont="1" applyFill="1" applyBorder="1" applyAlignment="1">
      <alignment horizontal="center" vertical="center"/>
    </xf>
    <xf numFmtId="0" fontId="42" fillId="42" borderId="80" xfId="0" applyFont="1" applyFill="1" applyBorder="1" applyAlignment="1">
      <alignment horizontal="center" vertical="center"/>
    </xf>
    <xf numFmtId="0" fontId="11" fillId="42" borderId="28" xfId="0" applyFont="1" applyFill="1" applyBorder="1" applyAlignment="1">
      <alignment horizontal="center" vertical="center"/>
    </xf>
    <xf numFmtId="0" fontId="12" fillId="42" borderId="33" xfId="0" applyFont="1" applyFill="1" applyBorder="1" applyAlignment="1">
      <alignment horizontal="center" vertical="center"/>
    </xf>
    <xf numFmtId="0" fontId="11" fillId="42" borderId="36" xfId="0" applyFont="1" applyFill="1" applyBorder="1" applyAlignment="1">
      <alignment horizontal="center" vertical="center"/>
    </xf>
    <xf numFmtId="0" fontId="12" fillId="42" borderId="50" xfId="0" applyFont="1" applyFill="1" applyBorder="1" applyAlignment="1">
      <alignment horizontal="center" vertical="center"/>
    </xf>
    <xf numFmtId="0" fontId="11" fillId="42" borderId="37" xfId="0" applyFont="1" applyFill="1" applyBorder="1" applyAlignment="1">
      <alignment horizontal="center" vertical="center" wrapText="1"/>
    </xf>
    <xf numFmtId="0" fontId="12" fillId="42" borderId="24" xfId="0" applyFont="1" applyFill="1" applyBorder="1" applyAlignment="1">
      <alignment horizontal="center" vertical="center" wrapText="1"/>
    </xf>
    <xf numFmtId="0" fontId="11" fillId="42" borderId="37" xfId="0" applyFont="1" applyFill="1" applyBorder="1" applyAlignment="1">
      <alignment horizontal="center" vertical="center"/>
    </xf>
    <xf numFmtId="0" fontId="12" fillId="42" borderId="24" xfId="0" applyFont="1" applyFill="1" applyBorder="1" applyAlignment="1">
      <alignment horizontal="center" vertical="center"/>
    </xf>
    <xf numFmtId="0" fontId="69" fillId="32" borderId="44" xfId="0" applyFont="1" applyFill="1" applyBorder="1" applyAlignment="1">
      <alignment horizontal="center"/>
    </xf>
    <xf numFmtId="0" fontId="69" fillId="32" borderId="45" xfId="0" applyFont="1" applyFill="1" applyBorder="1" applyAlignment="1">
      <alignment horizontal="center"/>
    </xf>
    <xf numFmtId="0" fontId="69" fillId="32" borderId="46" xfId="0" applyFont="1" applyFill="1" applyBorder="1" applyAlignment="1">
      <alignment horizontal="center"/>
    </xf>
    <xf numFmtId="0" fontId="33" fillId="0" borderId="0" xfId="0" applyFont="1" applyAlignment="1">
      <alignment horizontal="justify" vertical="center" wrapText="1"/>
    </xf>
    <xf numFmtId="0" fontId="11" fillId="42" borderId="38" xfId="0" applyFont="1" applyFill="1" applyBorder="1" applyAlignment="1">
      <alignment horizontal="center" vertical="center"/>
    </xf>
    <xf numFmtId="0" fontId="12" fillId="42" borderId="85" xfId="0" applyFont="1" applyFill="1" applyBorder="1" applyAlignment="1">
      <alignment horizontal="center" vertical="center"/>
    </xf>
    <xf numFmtId="0" fontId="11" fillId="42" borderId="29" xfId="0" applyFont="1" applyFill="1" applyBorder="1" applyAlignment="1">
      <alignment horizontal="center" vertical="center"/>
    </xf>
    <xf numFmtId="0" fontId="12" fillId="42" borderId="34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136" fillId="0" borderId="0" xfId="0" applyFont="1" applyAlignment="1">
      <alignment horizontal="left"/>
    </xf>
    <xf numFmtId="1" fontId="137" fillId="0" borderId="19" xfId="0" applyNumberFormat="1" applyFont="1" applyBorder="1" applyAlignment="1">
      <alignment horizontal="right"/>
    </xf>
    <xf numFmtId="0" fontId="137" fillId="0" borderId="19" xfId="0" applyFont="1" applyBorder="1" applyAlignment="1">
      <alignment horizontal="right"/>
    </xf>
    <xf numFmtId="0" fontId="26" fillId="0" borderId="0" xfId="0" applyFont="1" applyAlignment="1">
      <alignment horizontal="left"/>
    </xf>
    <xf numFmtId="1" fontId="5" fillId="0" borderId="58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2" fontId="15" fillId="0" borderId="10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38" fillId="0" borderId="57" xfId="0" applyFont="1" applyBorder="1" applyAlignment="1">
      <alignment horizontal="center" vertical="center"/>
    </xf>
    <xf numFmtId="0" fontId="138" fillId="0" borderId="49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1" fillId="0" borderId="62" xfId="0" applyFont="1" applyBorder="1" applyAlignment="1">
      <alignment horizontal="left" vertical="center"/>
    </xf>
    <xf numFmtId="0" fontId="131" fillId="0" borderId="0" xfId="0" applyFont="1" applyBorder="1" applyAlignment="1">
      <alignment horizontal="left" vertical="center"/>
    </xf>
    <xf numFmtId="0" fontId="131" fillId="0" borderId="62" xfId="0" applyFont="1" applyFill="1" applyBorder="1" applyAlignment="1">
      <alignment horizontal="left" vertical="center"/>
    </xf>
    <xf numFmtId="0" fontId="131" fillId="0" borderId="0" xfId="0" applyFont="1" applyFill="1" applyBorder="1" applyAlignment="1">
      <alignment horizontal="left" vertical="center"/>
    </xf>
    <xf numFmtId="0" fontId="14" fillId="0" borderId="64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1" fillId="0" borderId="64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23" fillId="0" borderId="5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37" fillId="0" borderId="62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65" xfId="0" applyFont="1" applyBorder="1" applyAlignment="1">
      <alignment horizontal="left" vertical="center"/>
    </xf>
    <xf numFmtId="0" fontId="26" fillId="0" borderId="64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41" fillId="0" borderId="64" xfId="0" applyFont="1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wrapText="1"/>
    </xf>
    <xf numFmtId="0" fontId="43" fillId="0" borderId="65" xfId="0" applyFont="1" applyBorder="1" applyAlignment="1">
      <alignment horizontal="left" vertical="center" wrapText="1"/>
    </xf>
    <xf numFmtId="0" fontId="43" fillId="0" borderId="6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1" fillId="0" borderId="64" xfId="0" applyFont="1" applyBorder="1" applyAlignment="1">
      <alignment horizontal="left" vertical="center" wrapText="1"/>
    </xf>
    <xf numFmtId="0" fontId="41" fillId="0" borderId="48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/>
    </xf>
    <xf numFmtId="0" fontId="26" fillId="0" borderId="57" xfId="0" applyFont="1" applyBorder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33" fillId="0" borderId="6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1" fontId="50" fillId="32" borderId="62" xfId="0" applyNumberFormat="1" applyFont="1" applyFill="1" applyBorder="1" applyAlignment="1" quotePrefix="1">
      <alignment horizontal="center"/>
    </xf>
    <xf numFmtId="1" fontId="50" fillId="32" borderId="87" xfId="0" applyNumberFormat="1" applyFont="1" applyFill="1" applyBorder="1" applyAlignment="1" quotePrefix="1">
      <alignment horizontal="center"/>
    </xf>
    <xf numFmtId="0" fontId="33" fillId="0" borderId="62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23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1" fontId="139" fillId="0" borderId="23" xfId="0" applyNumberFormat="1" applyFont="1" applyBorder="1" applyAlignment="1">
      <alignment horizontal="center" vertical="center"/>
    </xf>
    <xf numFmtId="0" fontId="139" fillId="0" borderId="49" xfId="0" applyFont="1" applyBorder="1" applyAlignment="1">
      <alignment horizontal="center" vertical="center"/>
    </xf>
    <xf numFmtId="0" fontId="71" fillId="0" borderId="23" xfId="0" applyFont="1" applyBorder="1" applyAlignment="1">
      <alignment horizontal="left" vertical="center"/>
    </xf>
    <xf numFmtId="0" fontId="71" fillId="0" borderId="57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5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65" xfId="0" applyFont="1" applyBorder="1" applyAlignment="1">
      <alignment horizontal="left" vertical="center"/>
    </xf>
    <xf numFmtId="0" fontId="130" fillId="0" borderId="23" xfId="0" applyFont="1" applyBorder="1" applyAlignment="1">
      <alignment horizontal="left" vertical="center"/>
    </xf>
    <xf numFmtId="0" fontId="130" fillId="0" borderId="57" xfId="0" applyFont="1" applyBorder="1" applyAlignment="1">
      <alignment horizontal="left" vertical="center"/>
    </xf>
    <xf numFmtId="0" fontId="130" fillId="0" borderId="4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3" fillId="32" borderId="68" xfId="0" applyFont="1" applyFill="1" applyBorder="1" applyAlignment="1">
      <alignment horizontal="left"/>
    </xf>
    <xf numFmtId="0" fontId="133" fillId="32" borderId="52" xfId="0" applyFont="1" applyFill="1" applyBorder="1" applyAlignment="1">
      <alignment horizontal="left"/>
    </xf>
    <xf numFmtId="0" fontId="133" fillId="32" borderId="29" xfId="0" applyFont="1" applyFill="1" applyBorder="1" applyAlignment="1">
      <alignment horizontal="left"/>
    </xf>
    <xf numFmtId="0" fontId="42" fillId="32" borderId="64" xfId="0" applyFont="1" applyFill="1" applyBorder="1" applyAlignment="1">
      <alignment horizontal="left"/>
    </xf>
    <xf numFmtId="0" fontId="42" fillId="32" borderId="48" xfId="0" applyFont="1" applyFill="1" applyBorder="1" applyAlignment="1">
      <alignment horizontal="left"/>
    </xf>
    <xf numFmtId="0" fontId="42" fillId="32" borderId="47" xfId="0" applyFont="1" applyFill="1" applyBorder="1" applyAlignment="1">
      <alignment horizontal="left"/>
    </xf>
    <xf numFmtId="0" fontId="42" fillId="32" borderId="11" xfId="0" applyFont="1" applyFill="1" applyBorder="1" applyAlignment="1">
      <alignment horizontal="left"/>
    </xf>
    <xf numFmtId="0" fontId="42" fillId="32" borderId="57" xfId="0" applyFont="1" applyFill="1" applyBorder="1" applyAlignment="1">
      <alignment horizontal="left"/>
    </xf>
    <xf numFmtId="0" fontId="15" fillId="32" borderId="23" xfId="0" applyFont="1" applyFill="1" applyBorder="1" applyAlignment="1">
      <alignment horizontal="left" vertical="center"/>
    </xf>
    <xf numFmtId="0" fontId="15" fillId="32" borderId="57" xfId="0" applyFont="1" applyFill="1" applyBorder="1" applyAlignment="1">
      <alignment horizontal="left" vertical="center"/>
    </xf>
    <xf numFmtId="0" fontId="15" fillId="32" borderId="49" xfId="0" applyFont="1" applyFill="1" applyBorder="1" applyAlignment="1">
      <alignment horizontal="left" vertical="center"/>
    </xf>
    <xf numFmtId="0" fontId="54" fillId="32" borderId="11" xfId="0" applyFont="1" applyFill="1" applyBorder="1" applyAlignment="1">
      <alignment horizontal="left"/>
    </xf>
    <xf numFmtId="0" fontId="54" fillId="32" borderId="57" xfId="0" applyFont="1" applyFill="1" applyBorder="1" applyAlignment="1">
      <alignment horizontal="left"/>
    </xf>
    <xf numFmtId="0" fontId="54" fillId="32" borderId="49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center"/>
    </xf>
    <xf numFmtId="0" fontId="1" fillId="32" borderId="57" xfId="0" applyFont="1" applyFill="1" applyBorder="1" applyAlignment="1">
      <alignment horizontal="center"/>
    </xf>
    <xf numFmtId="0" fontId="42" fillId="32" borderId="49" xfId="0" applyFont="1" applyFill="1" applyBorder="1" applyAlignment="1">
      <alignment horizontal="left"/>
    </xf>
    <xf numFmtId="0" fontId="73" fillId="40" borderId="11" xfId="0" applyFont="1" applyFill="1" applyBorder="1" applyAlignment="1">
      <alignment horizontal="center"/>
    </xf>
    <xf numFmtId="0" fontId="73" fillId="40" borderId="57" xfId="0" applyFont="1" applyFill="1" applyBorder="1" applyAlignment="1">
      <alignment horizontal="center"/>
    </xf>
    <xf numFmtId="0" fontId="42" fillId="32" borderId="23" xfId="0" applyFont="1" applyFill="1" applyBorder="1" applyAlignment="1">
      <alignment horizontal="center"/>
    </xf>
    <xf numFmtId="0" fontId="42" fillId="32" borderId="57" xfId="0" applyFont="1" applyFill="1" applyBorder="1" applyAlignment="1">
      <alignment horizontal="center"/>
    </xf>
    <xf numFmtId="0" fontId="42" fillId="32" borderId="49" xfId="0" applyFont="1" applyFill="1" applyBorder="1" applyAlignment="1">
      <alignment horizontal="center"/>
    </xf>
    <xf numFmtId="0" fontId="42" fillId="32" borderId="31" xfId="0" applyFont="1" applyFill="1" applyBorder="1" applyAlignment="1">
      <alignment horizontal="center"/>
    </xf>
    <xf numFmtId="0" fontId="42" fillId="32" borderId="23" xfId="0" applyFont="1" applyFill="1" applyBorder="1" applyAlignment="1">
      <alignment horizontal="left"/>
    </xf>
    <xf numFmtId="0" fontId="42" fillId="32" borderId="31" xfId="0" applyFont="1" applyFill="1" applyBorder="1" applyAlignment="1">
      <alignment horizontal="left"/>
    </xf>
    <xf numFmtId="0" fontId="42" fillId="32" borderId="73" xfId="0" applyFont="1" applyFill="1" applyBorder="1" applyAlignment="1">
      <alignment horizontal="center"/>
    </xf>
    <xf numFmtId="0" fontId="42" fillId="32" borderId="56" xfId="0" applyFont="1" applyFill="1" applyBorder="1" applyAlignment="1">
      <alignment horizontal="center"/>
    </xf>
    <xf numFmtId="0" fontId="42" fillId="32" borderId="34" xfId="0" applyFont="1" applyFill="1" applyBorder="1" applyAlignment="1">
      <alignment horizontal="center"/>
    </xf>
    <xf numFmtId="0" fontId="42" fillId="32" borderId="68" xfId="0" applyFont="1" applyFill="1" applyBorder="1" applyAlignment="1" quotePrefix="1">
      <alignment/>
    </xf>
    <xf numFmtId="0" fontId="42" fillId="32" borderId="52" xfId="0" applyFont="1" applyFill="1" applyBorder="1" applyAlignment="1">
      <alignment/>
    </xf>
    <xf numFmtId="0" fontId="42" fillId="32" borderId="81" xfId="0" applyFont="1" applyFill="1" applyBorder="1" applyAlignment="1">
      <alignment/>
    </xf>
    <xf numFmtId="0" fontId="42" fillId="32" borderId="11" xfId="0" applyFont="1" applyFill="1" applyBorder="1" applyAlignment="1" quotePrefix="1">
      <alignment horizontal="left"/>
    </xf>
    <xf numFmtId="0" fontId="42" fillId="32" borderId="79" xfId="0" applyFont="1" applyFill="1" applyBorder="1" applyAlignment="1" quotePrefix="1">
      <alignment horizontal="left"/>
    </xf>
    <xf numFmtId="0" fontId="42" fillId="32" borderId="56" xfId="0" applyFont="1" applyFill="1" applyBorder="1" applyAlignment="1">
      <alignment horizontal="left"/>
    </xf>
    <xf numFmtId="0" fontId="42" fillId="32" borderId="82" xfId="0" applyFont="1" applyFill="1" applyBorder="1" applyAlignment="1">
      <alignment horizontal="left"/>
    </xf>
    <xf numFmtId="0" fontId="42" fillId="32" borderId="26" xfId="0" applyFont="1" applyFill="1" applyBorder="1" applyAlignment="1">
      <alignment horizontal="center"/>
    </xf>
    <xf numFmtId="0" fontId="42" fillId="32" borderId="86" xfId="0" applyFont="1" applyFill="1" applyBorder="1" applyAlignment="1">
      <alignment horizontal="center"/>
    </xf>
    <xf numFmtId="0" fontId="42" fillId="32" borderId="72" xfId="0" applyFont="1" applyFill="1" applyBorder="1" applyAlignment="1">
      <alignment horizontal="left"/>
    </xf>
    <xf numFmtId="0" fontId="42" fillId="32" borderId="52" xfId="0" applyFont="1" applyFill="1" applyBorder="1" applyAlignment="1">
      <alignment horizontal="left"/>
    </xf>
    <xf numFmtId="0" fontId="42" fillId="32" borderId="81" xfId="0" applyFont="1" applyFill="1" applyBorder="1" applyAlignment="1">
      <alignment horizontal="left"/>
    </xf>
    <xf numFmtId="0" fontId="54" fillId="0" borderId="26" xfId="0" applyFont="1" applyBorder="1" applyAlignment="1">
      <alignment horizontal="center"/>
    </xf>
    <xf numFmtId="0" fontId="54" fillId="0" borderId="58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40" borderId="11" xfId="0" applyFont="1" applyFill="1" applyBorder="1" applyAlignment="1">
      <alignment horizontal="left"/>
    </xf>
    <xf numFmtId="0" fontId="54" fillId="40" borderId="57" xfId="0" applyFont="1" applyFill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2" fillId="32" borderId="10" xfId="0" applyFont="1" applyFill="1" applyBorder="1" applyAlignment="1">
      <alignment horizontal="left"/>
    </xf>
    <xf numFmtId="17" fontId="1" fillId="0" borderId="7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7" fontId="1" fillId="0" borderId="2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2" borderId="12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2" fontId="1" fillId="32" borderId="73" xfId="0" applyNumberFormat="1" applyFont="1" applyFill="1" applyBorder="1" applyAlignment="1">
      <alignment horizontal="right"/>
    </xf>
    <xf numFmtId="0" fontId="1" fillId="32" borderId="56" xfId="0" applyFont="1" applyFill="1" applyBorder="1" applyAlignment="1">
      <alignment horizontal="right"/>
    </xf>
    <xf numFmtId="0" fontId="1" fillId="32" borderId="34" xfId="0" applyFont="1" applyFill="1" applyBorder="1" applyAlignment="1">
      <alignment horizontal="right"/>
    </xf>
    <xf numFmtId="2" fontId="1" fillId="32" borderId="51" xfId="0" applyNumberFormat="1" applyFont="1" applyFill="1" applyBorder="1" applyAlignment="1">
      <alignment horizontal="right"/>
    </xf>
    <xf numFmtId="0" fontId="1" fillId="32" borderId="58" xfId="0" applyFont="1" applyFill="1" applyBorder="1" applyAlignment="1">
      <alignment horizontal="right"/>
    </xf>
    <xf numFmtId="0" fontId="1" fillId="32" borderId="27" xfId="0" applyFont="1" applyFill="1" applyBorder="1" applyAlignment="1">
      <alignment horizontal="right"/>
    </xf>
    <xf numFmtId="0" fontId="54" fillId="0" borderId="45" xfId="0" applyFont="1" applyBorder="1" applyAlignment="1">
      <alignment horizontal="center"/>
    </xf>
    <xf numFmtId="0" fontId="42" fillId="32" borderId="0" xfId="0" applyFont="1" applyFill="1" applyBorder="1" applyAlignment="1">
      <alignment horizontal="center"/>
    </xf>
    <xf numFmtId="0" fontId="42" fillId="32" borderId="12" xfId="0" applyFont="1" applyFill="1" applyBorder="1" applyAlignment="1">
      <alignment horizontal="justify" vertical="top"/>
    </xf>
    <xf numFmtId="0" fontId="42" fillId="32" borderId="0" xfId="0" applyFont="1" applyFill="1" applyBorder="1" applyAlignment="1">
      <alignment horizontal="justify" vertical="top"/>
    </xf>
    <xf numFmtId="0" fontId="1" fillId="32" borderId="72" xfId="0" applyFont="1" applyFill="1" applyBorder="1" applyAlignment="1">
      <alignment horizontal="center"/>
    </xf>
    <xf numFmtId="0" fontId="1" fillId="32" borderId="52" xfId="0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B%20Nandanam\Downloads\IT%20%20FORM-16\FORM-16%20PARTIAL%20FORM%20TANGED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w%20Folder%20(2)\Currenr%20Files\RAGAV-2-date-15-10-2009\VIVEK-1-03-2011\GPF-PRG\NUMBER\6_num2t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-STATEMENT-2014-2015"/>
      <sheetName val="FORM 16 -2014-2015"/>
    </sheetNames>
    <sheetDataSet>
      <sheetData sheetId="0">
        <row r="56">
          <cell r="U56">
            <v>53976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NUM2TEX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V175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25.00390625" style="0" customWidth="1"/>
    <col min="2" max="2" width="21.57421875" style="0" customWidth="1"/>
    <col min="3" max="3" width="11.57421875" style="0" bestFit="1" customWidth="1"/>
    <col min="5" max="5" width="12.140625" style="0" customWidth="1"/>
    <col min="6" max="6" width="5.57421875" style="0" customWidth="1"/>
    <col min="7" max="7" width="8.140625" style="0" customWidth="1"/>
    <col min="8" max="8" width="7.28125" style="0" customWidth="1"/>
    <col min="9" max="9" width="7.7109375" style="0" customWidth="1"/>
    <col min="10" max="10" width="7.8515625" style="0" customWidth="1"/>
    <col min="11" max="11" width="6.8515625" style="0" customWidth="1"/>
    <col min="12" max="12" width="5.28125" style="0" customWidth="1"/>
    <col min="13" max="13" width="3.00390625" style="0" customWidth="1"/>
    <col min="14" max="14" width="9.7109375" style="0" customWidth="1"/>
    <col min="15" max="15" width="6.7109375" style="0" customWidth="1"/>
    <col min="16" max="16" width="6.140625" style="0" customWidth="1"/>
    <col min="17" max="17" width="5.8515625" style="0" customWidth="1"/>
    <col min="18" max="18" width="7.140625" style="0" customWidth="1"/>
    <col min="19" max="19" width="8.8515625" style="0" customWidth="1"/>
    <col min="20" max="20" width="7.8515625" style="0" customWidth="1"/>
    <col min="21" max="21" width="9.28125" style="0" customWidth="1"/>
    <col min="22" max="22" width="7.421875" style="402" customWidth="1"/>
    <col min="23" max="23" width="13.00390625" style="0" customWidth="1"/>
    <col min="24" max="24" width="10.57421875" style="0" customWidth="1"/>
    <col min="25" max="25" width="10.8515625" style="0" customWidth="1"/>
    <col min="26" max="26" width="9.57421875" style="0" hidden="1" customWidth="1"/>
    <col min="27" max="27" width="9.140625" style="0" hidden="1" customWidth="1"/>
    <col min="28" max="28" width="9.57421875" style="0" hidden="1" customWidth="1"/>
    <col min="29" max="32" width="9.140625" style="0" hidden="1" customWidth="1"/>
    <col min="33" max="38" width="9.57421875" style="0" hidden="1" customWidth="1"/>
    <col min="39" max="39" width="12.28125" style="0" hidden="1" customWidth="1"/>
    <col min="40" max="40" width="9.57421875" style="0" hidden="1" customWidth="1"/>
    <col min="41" max="41" width="9.140625" style="0" hidden="1" customWidth="1"/>
    <col min="42" max="42" width="10.8515625" style="0" hidden="1" customWidth="1"/>
    <col min="43" max="49" width="9.140625" style="0" hidden="1" customWidth="1"/>
    <col min="50" max="50" width="11.28125" style="0" hidden="1" customWidth="1"/>
    <col min="51" max="75" width="9.140625" style="0" hidden="1" customWidth="1"/>
    <col min="76" max="77" width="9.140625" style="0" customWidth="1"/>
  </cols>
  <sheetData>
    <row r="1" spans="1:61" ht="23.25">
      <c r="A1" s="16" t="s">
        <v>0</v>
      </c>
      <c r="B1" s="16"/>
      <c r="D1" s="95" t="s">
        <v>69</v>
      </c>
      <c r="E1" s="18"/>
      <c r="F1" s="983" t="s">
        <v>245</v>
      </c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  <c r="S1" s="983"/>
      <c r="T1" s="983"/>
      <c r="U1" s="983"/>
      <c r="V1" s="983"/>
      <c r="AA1" s="107"/>
      <c r="AB1" s="108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</row>
    <row r="2" spans="1:61" s="10" customFormat="1" ht="18.75" customHeight="1">
      <c r="A2" s="106" t="s">
        <v>7</v>
      </c>
      <c r="B2" s="16"/>
      <c r="D2" s="96" t="s">
        <v>70</v>
      </c>
      <c r="F2" s="984" t="s">
        <v>292</v>
      </c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AA2" s="109"/>
      <c r="AB2" s="110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7"/>
      <c r="BB2" s="107"/>
      <c r="BC2" s="107"/>
      <c r="BD2" s="107"/>
      <c r="BE2" s="107"/>
      <c r="BF2" s="107"/>
      <c r="BG2" s="109"/>
      <c r="BH2" s="109"/>
      <c r="BI2" s="109"/>
    </row>
    <row r="3" spans="1:61" ht="16.5" thickBot="1">
      <c r="A3" s="16" t="s">
        <v>1</v>
      </c>
      <c r="B3" s="16"/>
      <c r="D3" s="17" t="s">
        <v>73</v>
      </c>
      <c r="G3" s="13" t="s">
        <v>9</v>
      </c>
      <c r="H3" s="13">
        <f>+B1</f>
        <v>0</v>
      </c>
      <c r="I3" s="13"/>
      <c r="J3" s="13"/>
      <c r="K3" s="13"/>
      <c r="L3" s="13"/>
      <c r="M3" s="14"/>
      <c r="N3" s="14"/>
      <c r="O3" s="8"/>
      <c r="P3" s="995" t="s">
        <v>53</v>
      </c>
      <c r="Q3" s="995"/>
      <c r="R3" s="995"/>
      <c r="S3" s="995"/>
      <c r="T3" s="995"/>
      <c r="U3" s="995"/>
      <c r="V3" s="400"/>
      <c r="AA3" s="107"/>
      <c r="AB3" s="108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</row>
    <row r="4" spans="1:61" ht="18.75" thickBot="1">
      <c r="A4" s="105" t="s">
        <v>10</v>
      </c>
      <c r="B4" s="17" t="s">
        <v>8</v>
      </c>
      <c r="G4" s="13" t="s">
        <v>11</v>
      </c>
      <c r="H4" s="13">
        <f>+B2</f>
        <v>0</v>
      </c>
      <c r="I4" s="13"/>
      <c r="J4" s="13"/>
      <c r="K4" s="13"/>
      <c r="L4" s="13"/>
      <c r="M4" s="14"/>
      <c r="N4" s="14"/>
      <c r="O4" s="8"/>
      <c r="P4" s="1023"/>
      <c r="Q4" s="1024"/>
      <c r="R4" s="1024"/>
      <c r="S4" s="1024"/>
      <c r="T4" s="1024"/>
      <c r="U4" s="1025"/>
      <c r="V4" s="400"/>
      <c r="AA4" s="107"/>
      <c r="AB4" s="108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</row>
    <row r="5" spans="1:61" ht="16.5" thickBot="1">
      <c r="A5" s="100" t="s">
        <v>293</v>
      </c>
      <c r="B5" s="17">
        <v>15000</v>
      </c>
      <c r="D5" s="32"/>
      <c r="G5" s="13" t="s">
        <v>12</v>
      </c>
      <c r="H5" s="13">
        <f>+B3</f>
        <v>0</v>
      </c>
      <c r="I5" s="13"/>
      <c r="J5" s="13"/>
      <c r="K5" s="13"/>
      <c r="L5" s="13"/>
      <c r="M5" s="14"/>
      <c r="N5" s="14"/>
      <c r="O5" s="8"/>
      <c r="P5" s="8"/>
      <c r="Q5" s="8"/>
      <c r="R5" s="8"/>
      <c r="S5" s="8"/>
      <c r="T5" s="8"/>
      <c r="U5" s="8"/>
      <c r="V5" s="400"/>
      <c r="AA5" s="111"/>
      <c r="AB5" s="112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4"/>
    </row>
    <row r="6" spans="1:74" ht="19.5" customHeight="1" thickBot="1">
      <c r="A6" s="16" t="s">
        <v>72</v>
      </c>
      <c r="B6" s="602">
        <v>2200</v>
      </c>
      <c r="F6" s="991" t="s">
        <v>52</v>
      </c>
      <c r="G6" s="993" t="s">
        <v>14</v>
      </c>
      <c r="H6" s="1037" t="s">
        <v>15</v>
      </c>
      <c r="I6" s="1039" t="s">
        <v>2</v>
      </c>
      <c r="J6" s="1028" t="s">
        <v>16</v>
      </c>
      <c r="K6" s="1028" t="s">
        <v>17</v>
      </c>
      <c r="L6" s="1028" t="s">
        <v>18</v>
      </c>
      <c r="M6" s="1032"/>
      <c r="N6" s="1034" t="s">
        <v>19</v>
      </c>
      <c r="O6" s="479" t="s">
        <v>20</v>
      </c>
      <c r="P6" s="480" t="s">
        <v>21</v>
      </c>
      <c r="Q6" s="1021" t="s">
        <v>22</v>
      </c>
      <c r="R6" s="1021" t="s">
        <v>5</v>
      </c>
      <c r="S6" s="1021" t="s">
        <v>23</v>
      </c>
      <c r="T6" s="1021" t="s">
        <v>24</v>
      </c>
      <c r="U6" s="481" t="s">
        <v>25</v>
      </c>
      <c r="V6" s="519" t="s">
        <v>54</v>
      </c>
      <c r="W6" s="417"/>
      <c r="AA6" s="82"/>
      <c r="AB6" s="83"/>
      <c r="AC6" s="83"/>
      <c r="AD6" s="83" t="s">
        <v>66</v>
      </c>
      <c r="AE6" s="83"/>
      <c r="AF6" s="84"/>
      <c r="AG6" s="108"/>
      <c r="AH6" s="108"/>
      <c r="AI6" s="115">
        <f aca="true" t="shared" si="0" ref="AI6:AI11">+N13</f>
        <v>43708</v>
      </c>
      <c r="AJ6" s="113"/>
      <c r="AK6" s="116" t="s">
        <v>4</v>
      </c>
      <c r="AL6" s="117">
        <f>+N8</f>
        <v>43192</v>
      </c>
      <c r="AM6" s="117">
        <f>+AL9</f>
        <v>259668</v>
      </c>
      <c r="AN6" s="114">
        <f>IF(AM6&lt;21000,0,IF(AM6&lt;30000,100,IF(AM6&lt;45000,235,IF(AM6&lt;60000,510,IF(AM6&lt;75000,760,1095)))))</f>
        <v>1095</v>
      </c>
      <c r="AO6" s="113"/>
      <c r="AP6" s="118" t="s">
        <v>6</v>
      </c>
      <c r="AQ6" s="119">
        <v>250000</v>
      </c>
      <c r="AR6" s="113"/>
      <c r="AS6" s="120">
        <f>+AX21</f>
        <v>189140</v>
      </c>
      <c r="AT6" s="121"/>
      <c r="AU6" s="122"/>
      <c r="AV6" s="113"/>
      <c r="AW6" s="113" t="s">
        <v>43</v>
      </c>
      <c r="AX6" s="119" t="s">
        <v>240</v>
      </c>
      <c r="AY6" s="123"/>
      <c r="AZ6" s="113"/>
      <c r="BA6" s="113"/>
      <c r="BB6" s="386">
        <v>0</v>
      </c>
      <c r="BC6" s="386">
        <v>0</v>
      </c>
      <c r="BD6" s="386"/>
      <c r="BE6" s="386">
        <v>0</v>
      </c>
      <c r="BF6" s="386">
        <v>0</v>
      </c>
      <c r="BG6" s="113"/>
      <c r="BH6" s="124">
        <f>IF(U47&gt;500001,U47-T48,IF(U47&lt;1000000,U47-T48,0))</f>
        <v>0</v>
      </c>
      <c r="BI6" s="114"/>
      <c r="BR6">
        <v>0</v>
      </c>
      <c r="BS6">
        <v>0</v>
      </c>
      <c r="BU6">
        <v>0</v>
      </c>
      <c r="BV6">
        <v>0</v>
      </c>
    </row>
    <row r="7" spans="1:74" ht="17.25" customHeight="1" thickBot="1">
      <c r="A7" s="15" t="s">
        <v>13</v>
      </c>
      <c r="B7" s="46">
        <f>+A28</f>
        <v>520</v>
      </c>
      <c r="C7" s="9"/>
      <c r="F7" s="992"/>
      <c r="G7" s="994"/>
      <c r="H7" s="1038"/>
      <c r="I7" s="1040"/>
      <c r="J7" s="1029"/>
      <c r="K7" s="1029"/>
      <c r="L7" s="1029"/>
      <c r="M7" s="1033"/>
      <c r="N7" s="1035"/>
      <c r="O7" s="482" t="s">
        <v>27</v>
      </c>
      <c r="P7" s="483" t="s">
        <v>28</v>
      </c>
      <c r="Q7" s="1022"/>
      <c r="R7" s="1022"/>
      <c r="S7" s="1022"/>
      <c r="T7" s="1022"/>
      <c r="U7" s="484" t="s">
        <v>29</v>
      </c>
      <c r="V7" s="428">
        <f>+N54</f>
        <v>4591</v>
      </c>
      <c r="W7" s="417"/>
      <c r="AA7" s="85"/>
      <c r="AB7" s="79"/>
      <c r="AC7" s="79"/>
      <c r="AD7" s="81">
        <v>1.36</v>
      </c>
      <c r="AE7" s="81">
        <v>1.32</v>
      </c>
      <c r="AF7" s="86" t="s">
        <v>67</v>
      </c>
      <c r="AG7" s="108"/>
      <c r="AH7" s="108"/>
      <c r="AI7" s="125">
        <f t="shared" si="0"/>
        <v>43708</v>
      </c>
      <c r="AJ7" s="108"/>
      <c r="AK7" s="126"/>
      <c r="AL7" s="127">
        <f>+AL6</f>
        <v>43192</v>
      </c>
      <c r="AM7" s="126"/>
      <c r="AN7" s="128"/>
      <c r="AO7" s="108"/>
      <c r="AP7" s="129" t="s">
        <v>8</v>
      </c>
      <c r="AQ7" s="130">
        <f>+AQ6</f>
        <v>250000</v>
      </c>
      <c r="AR7" s="108"/>
      <c r="AS7" s="131">
        <f>+AW22</f>
        <v>189140</v>
      </c>
      <c r="AT7" s="132">
        <f>+AS6-AS7</f>
        <v>0</v>
      </c>
      <c r="AU7" s="133"/>
      <c r="AV7" s="108"/>
      <c r="AW7" s="108" t="s">
        <v>8</v>
      </c>
      <c r="AX7" s="134" t="s">
        <v>240</v>
      </c>
      <c r="AY7" s="135"/>
      <c r="AZ7" s="108"/>
      <c r="BA7" s="108"/>
      <c r="BB7" s="386">
        <v>5299</v>
      </c>
      <c r="BC7" s="386">
        <v>500</v>
      </c>
      <c r="BD7" s="386"/>
      <c r="BE7" s="386">
        <v>8000</v>
      </c>
      <c r="BF7" s="386">
        <v>180</v>
      </c>
      <c r="BG7" s="108"/>
      <c r="BH7" s="136">
        <f>IF(BH6&gt;500001,500000,IF(BH6&lt;500000,BH6,0))</f>
        <v>0</v>
      </c>
      <c r="BI7" s="137"/>
      <c r="BR7">
        <v>5299</v>
      </c>
      <c r="BS7">
        <v>500</v>
      </c>
      <c r="BU7">
        <v>8000</v>
      </c>
      <c r="BV7">
        <v>180</v>
      </c>
    </row>
    <row r="8" spans="1:74" ht="16.5" thickBot="1">
      <c r="A8" s="16" t="s">
        <v>26</v>
      </c>
      <c r="B8" s="17">
        <v>1</v>
      </c>
      <c r="C8" s="45"/>
      <c r="F8" s="42">
        <v>1.36</v>
      </c>
      <c r="G8" s="449">
        <f>DATE(2017,3,1)</f>
        <v>42795</v>
      </c>
      <c r="H8" s="450">
        <f>+B5</f>
        <v>15000</v>
      </c>
      <c r="I8" s="451">
        <f>+A24</f>
        <v>2200</v>
      </c>
      <c r="J8" s="452">
        <f>ROUND((+H8+I8)*F8,0)</f>
        <v>23392</v>
      </c>
      <c r="K8" s="451">
        <f>BO8</f>
        <v>2000</v>
      </c>
      <c r="L8" s="451">
        <f>BP8</f>
        <v>600</v>
      </c>
      <c r="M8" s="453"/>
      <c r="N8" s="454">
        <f aca="true" t="shared" si="1" ref="N8:N19">SUM(H8:M8)</f>
        <v>43192</v>
      </c>
      <c r="O8" s="485">
        <v>0</v>
      </c>
      <c r="P8" s="486">
        <v>0</v>
      </c>
      <c r="Q8" s="486">
        <v>0</v>
      </c>
      <c r="R8" s="486">
        <v>0</v>
      </c>
      <c r="S8" s="486">
        <v>0</v>
      </c>
      <c r="T8" s="486"/>
      <c r="U8" s="487">
        <v>0</v>
      </c>
      <c r="V8" s="423">
        <f>+V7-U8</f>
        <v>4591</v>
      </c>
      <c r="W8" s="418">
        <v>3</v>
      </c>
      <c r="AA8" s="87">
        <f>DATE(2017,1,1)</f>
        <v>42736</v>
      </c>
      <c r="AB8" s="79">
        <f>+H8</f>
        <v>15000</v>
      </c>
      <c r="AC8" s="79">
        <f>+I8</f>
        <v>2200</v>
      </c>
      <c r="AD8" s="80">
        <f>ROUND((+AB8+AC8)*AD7,0)</f>
        <v>23392</v>
      </c>
      <c r="AE8" s="80">
        <f>ROUND((+AB8+AC8)*AE7,0)</f>
        <v>22704</v>
      </c>
      <c r="AF8" s="86">
        <f>+AD8-AE8</f>
        <v>688</v>
      </c>
      <c r="AG8" s="108"/>
      <c r="AH8" s="108"/>
      <c r="AI8" s="125">
        <f t="shared" si="0"/>
        <v>43708</v>
      </c>
      <c r="AJ8" s="108"/>
      <c r="AK8" s="108"/>
      <c r="AL8" s="171">
        <f>+N9+N10+N11+N12</f>
        <v>173284</v>
      </c>
      <c r="AM8" s="108"/>
      <c r="AN8" s="137"/>
      <c r="AO8" s="108"/>
      <c r="AP8" s="108"/>
      <c r="AQ8" s="108"/>
      <c r="AR8" s="108"/>
      <c r="AS8" s="131"/>
      <c r="AT8" s="132">
        <f>+AW23</f>
        <v>0</v>
      </c>
      <c r="AU8" s="133">
        <f>+AT7-AT8</f>
        <v>0</v>
      </c>
      <c r="AV8" s="108"/>
      <c r="AW8" s="108"/>
      <c r="AX8" s="135"/>
      <c r="AY8" s="135"/>
      <c r="AZ8" s="108"/>
      <c r="BA8" s="108"/>
      <c r="BB8" s="386">
        <v>5300</v>
      </c>
      <c r="BC8" s="386">
        <v>560</v>
      </c>
      <c r="BD8" s="386"/>
      <c r="BE8" s="386">
        <v>8001</v>
      </c>
      <c r="BF8" s="386">
        <v>250</v>
      </c>
      <c r="BG8" s="108"/>
      <c r="BH8" s="108"/>
      <c r="BI8" s="137"/>
      <c r="BL8">
        <f>H8</f>
        <v>15000</v>
      </c>
      <c r="BM8">
        <f>I8</f>
        <v>2200</v>
      </c>
      <c r="BN8">
        <f>BL8+BM8</f>
        <v>17200</v>
      </c>
      <c r="BO8">
        <f>VLOOKUP(+BN8,BR$6:BS$23,2)</f>
        <v>2000</v>
      </c>
      <c r="BP8">
        <f>VLOOKUP(+BN8,BU$6:BV$10,2)</f>
        <v>600</v>
      </c>
      <c r="BR8">
        <v>5300</v>
      </c>
      <c r="BS8">
        <v>560</v>
      </c>
      <c r="BU8">
        <v>8001</v>
      </c>
      <c r="BV8">
        <v>250</v>
      </c>
    </row>
    <row r="9" spans="1:74" ht="16.5" thickBot="1">
      <c r="A9" s="19" t="s">
        <v>294</v>
      </c>
      <c r="B9" s="44">
        <f>+B5+B7</f>
        <v>15520</v>
      </c>
      <c r="C9" s="99"/>
      <c r="F9" s="43">
        <f>+F8</f>
        <v>1.36</v>
      </c>
      <c r="G9" s="455">
        <f>DATE(2017,4,1)</f>
        <v>42826</v>
      </c>
      <c r="H9" s="456">
        <f>IF($B$8&lt;4,$H$8,IF($B$8=4,$H$8+$B$7,IF($B$8&gt;4,$H$8)))</f>
        <v>15000</v>
      </c>
      <c r="I9" s="457">
        <f>+I8</f>
        <v>2200</v>
      </c>
      <c r="J9" s="458">
        <f>ROUND((H9+I9)*F9,0)</f>
        <v>23392</v>
      </c>
      <c r="K9" s="457">
        <f aca="true" t="shared" si="2" ref="K9:K19">BO9</f>
        <v>2000</v>
      </c>
      <c r="L9" s="457">
        <f aca="true" t="shared" si="3" ref="L9:L19">BP9</f>
        <v>600</v>
      </c>
      <c r="M9" s="459"/>
      <c r="N9" s="460">
        <f t="shared" si="1"/>
        <v>43192</v>
      </c>
      <c r="O9" s="488">
        <f aca="true" t="shared" si="4" ref="O9:S19">+O8</f>
        <v>0</v>
      </c>
      <c r="P9" s="489">
        <f t="shared" si="4"/>
        <v>0</v>
      </c>
      <c r="Q9" s="489">
        <f t="shared" si="4"/>
        <v>0</v>
      </c>
      <c r="R9" s="489">
        <f t="shared" si="4"/>
        <v>0</v>
      </c>
      <c r="S9" s="489">
        <f t="shared" si="4"/>
        <v>0</v>
      </c>
      <c r="T9" s="489"/>
      <c r="U9" s="490">
        <f>+U8</f>
        <v>0</v>
      </c>
      <c r="V9" s="424">
        <f>+V8-U9</f>
        <v>4591</v>
      </c>
      <c r="W9" s="419">
        <f>+W8+1</f>
        <v>4</v>
      </c>
      <c r="AA9" s="87">
        <f>DATE(2017,2,1)</f>
        <v>42767</v>
      </c>
      <c r="AB9" s="79">
        <f>+AB8</f>
        <v>15000</v>
      </c>
      <c r="AC9" s="79">
        <f>+I9</f>
        <v>2200</v>
      </c>
      <c r="AD9" s="80">
        <f>ROUND((+AB9+AC9)*AD7,0)</f>
        <v>23392</v>
      </c>
      <c r="AE9" s="80">
        <f>ROUND((+AB9+AC9)*AE7,0)</f>
        <v>22704</v>
      </c>
      <c r="AF9" s="86">
        <f>+AD9-AE9</f>
        <v>688</v>
      </c>
      <c r="AG9" s="108"/>
      <c r="AH9" s="108"/>
      <c r="AI9" s="125">
        <f t="shared" si="0"/>
        <v>43708</v>
      </c>
      <c r="AJ9" s="108"/>
      <c r="AK9" s="108"/>
      <c r="AL9" s="249">
        <f>SUM(AL6:AL8)</f>
        <v>259668</v>
      </c>
      <c r="AM9" s="108"/>
      <c r="AN9" s="128">
        <f>+AN6</f>
        <v>1095</v>
      </c>
      <c r="AO9" s="108"/>
      <c r="AP9" s="108"/>
      <c r="AQ9" s="108"/>
      <c r="AR9" s="108"/>
      <c r="AS9" s="138"/>
      <c r="AT9" s="139"/>
      <c r="AU9" s="140">
        <f>+AS7+AT8+AU8</f>
        <v>189140</v>
      </c>
      <c r="AV9" s="108"/>
      <c r="AW9" s="108" t="s">
        <v>6</v>
      </c>
      <c r="AX9" s="134" t="s">
        <v>299</v>
      </c>
      <c r="AY9" s="135"/>
      <c r="AZ9" s="108"/>
      <c r="BA9" s="108"/>
      <c r="BB9" s="386">
        <v>6700</v>
      </c>
      <c r="BC9" s="386">
        <v>680</v>
      </c>
      <c r="BD9" s="386"/>
      <c r="BE9" s="386">
        <v>12001</v>
      </c>
      <c r="BF9" s="386">
        <v>400</v>
      </c>
      <c r="BG9" s="108"/>
      <c r="BH9" s="108"/>
      <c r="BI9" s="137"/>
      <c r="BL9">
        <f aca="true" t="shared" si="5" ref="BL9:BL19">H9</f>
        <v>15000</v>
      </c>
      <c r="BM9">
        <f aca="true" t="shared" si="6" ref="BM9:BM19">I9</f>
        <v>2200</v>
      </c>
      <c r="BN9">
        <f aca="true" t="shared" si="7" ref="BN9:BN19">BL9+BM9</f>
        <v>17200</v>
      </c>
      <c r="BO9">
        <f aca="true" t="shared" si="8" ref="BO9:BO19">VLOOKUP(+BN9,BR$6:BS$23,2)</f>
        <v>2000</v>
      </c>
      <c r="BP9">
        <f aca="true" t="shared" si="9" ref="BP9:BP19">VLOOKUP(+BN9,BU$6:BV$10,2)</f>
        <v>600</v>
      </c>
      <c r="BR9">
        <v>6700</v>
      </c>
      <c r="BS9">
        <v>680</v>
      </c>
      <c r="BU9">
        <v>12001</v>
      </c>
      <c r="BV9">
        <v>400</v>
      </c>
    </row>
    <row r="10" spans="1:74" ht="17.25" thickBot="1">
      <c r="A10" s="1057" t="s">
        <v>234</v>
      </c>
      <c r="B10" s="398" t="s">
        <v>235</v>
      </c>
      <c r="F10" s="43">
        <f aca="true" t="shared" si="10" ref="F10:F19">+F9</f>
        <v>1.36</v>
      </c>
      <c r="G10" s="455">
        <f>DATE(2017,5,1)</f>
        <v>42856</v>
      </c>
      <c r="H10" s="461">
        <f>+H9</f>
        <v>15000</v>
      </c>
      <c r="I10" s="457">
        <f aca="true" t="shared" si="11" ref="I10:I19">+I9</f>
        <v>2200</v>
      </c>
      <c r="J10" s="458">
        <f aca="true" t="shared" si="12" ref="J10:J19">ROUND((H10+I10)*F10,0)</f>
        <v>23392</v>
      </c>
      <c r="K10" s="457">
        <f t="shared" si="2"/>
        <v>2000</v>
      </c>
      <c r="L10" s="457">
        <f t="shared" si="3"/>
        <v>600</v>
      </c>
      <c r="M10" s="459"/>
      <c r="N10" s="460">
        <f t="shared" si="1"/>
        <v>43192</v>
      </c>
      <c r="O10" s="488">
        <f t="shared" si="4"/>
        <v>0</v>
      </c>
      <c r="P10" s="489">
        <f t="shared" si="4"/>
        <v>0</v>
      </c>
      <c r="Q10" s="489">
        <f t="shared" si="4"/>
        <v>0</v>
      </c>
      <c r="R10" s="489">
        <f t="shared" si="4"/>
        <v>0</v>
      </c>
      <c r="S10" s="489">
        <f t="shared" si="4"/>
        <v>0</v>
      </c>
      <c r="T10" s="489"/>
      <c r="U10" s="490">
        <f aca="true" t="shared" si="13" ref="U10:U15">+U9</f>
        <v>0</v>
      </c>
      <c r="V10" s="424">
        <f aca="true" t="shared" si="14" ref="V10:V19">+V9-U10</f>
        <v>4591</v>
      </c>
      <c r="W10" s="419">
        <f aca="true" t="shared" si="15" ref="W10:W19">+W9+1</f>
        <v>5</v>
      </c>
      <c r="AA10" s="88"/>
      <c r="AB10" s="58"/>
      <c r="AC10" s="58"/>
      <c r="AD10" s="58"/>
      <c r="AE10" s="58"/>
      <c r="AF10" s="89"/>
      <c r="AG10" s="108"/>
      <c r="AH10" s="108"/>
      <c r="AI10" s="125">
        <f t="shared" si="0"/>
        <v>43708</v>
      </c>
      <c r="AJ10" s="108"/>
      <c r="AK10" s="108"/>
      <c r="AL10" s="108"/>
      <c r="AM10" s="108"/>
      <c r="AN10" s="141">
        <f>+AN8+AN9</f>
        <v>1095</v>
      </c>
      <c r="AO10" s="108"/>
      <c r="AP10" s="108"/>
      <c r="AQ10" s="108"/>
      <c r="AR10" s="108"/>
      <c r="AS10" s="108"/>
      <c r="AT10" s="108"/>
      <c r="AU10" s="108"/>
      <c r="AV10" s="108"/>
      <c r="AW10" s="108" t="s">
        <v>8</v>
      </c>
      <c r="AX10" s="134" t="s">
        <v>299</v>
      </c>
      <c r="AY10" s="135"/>
      <c r="AZ10" s="108"/>
      <c r="BA10" s="108"/>
      <c r="BB10" s="386">
        <v>8190</v>
      </c>
      <c r="BC10" s="386">
        <v>800</v>
      </c>
      <c r="BD10" s="386"/>
      <c r="BE10" s="387">
        <v>16001</v>
      </c>
      <c r="BF10" s="387">
        <v>600</v>
      </c>
      <c r="BG10" s="108"/>
      <c r="BH10" s="108"/>
      <c r="BI10" s="137"/>
      <c r="BL10">
        <f t="shared" si="5"/>
        <v>15000</v>
      </c>
      <c r="BM10">
        <f t="shared" si="6"/>
        <v>2200</v>
      </c>
      <c r="BN10">
        <f t="shared" si="7"/>
        <v>17200</v>
      </c>
      <c r="BO10">
        <f t="shared" si="8"/>
        <v>2000</v>
      </c>
      <c r="BP10">
        <f t="shared" si="9"/>
        <v>600</v>
      </c>
      <c r="BR10">
        <v>8190</v>
      </c>
      <c r="BS10">
        <v>800</v>
      </c>
      <c r="BU10" s="385">
        <v>16001</v>
      </c>
      <c r="BV10" s="385">
        <v>600</v>
      </c>
    </row>
    <row r="11" spans="1:71" ht="22.5" customHeight="1" thickBot="1">
      <c r="A11" s="1058"/>
      <c r="B11" s="399" t="s">
        <v>237</v>
      </c>
      <c r="F11" s="43">
        <f t="shared" si="10"/>
        <v>1.36</v>
      </c>
      <c r="G11" s="455">
        <f>DATE(2017,6,1)</f>
        <v>42887</v>
      </c>
      <c r="H11" s="461">
        <f>+H10</f>
        <v>15000</v>
      </c>
      <c r="I11" s="457">
        <f t="shared" si="11"/>
        <v>2200</v>
      </c>
      <c r="J11" s="458">
        <f t="shared" si="12"/>
        <v>23392</v>
      </c>
      <c r="K11" s="457">
        <f t="shared" si="2"/>
        <v>2000</v>
      </c>
      <c r="L11" s="457">
        <f t="shared" si="3"/>
        <v>600</v>
      </c>
      <c r="M11" s="459"/>
      <c r="N11" s="460">
        <f t="shared" si="1"/>
        <v>43192</v>
      </c>
      <c r="O11" s="488">
        <f>+O10</f>
        <v>0</v>
      </c>
      <c r="P11" s="489">
        <f t="shared" si="4"/>
        <v>0</v>
      </c>
      <c r="Q11" s="489">
        <f t="shared" si="4"/>
        <v>0</v>
      </c>
      <c r="R11" s="489">
        <f t="shared" si="4"/>
        <v>0</v>
      </c>
      <c r="S11" s="489">
        <f t="shared" si="4"/>
        <v>0</v>
      </c>
      <c r="T11" s="489"/>
      <c r="U11" s="490">
        <f t="shared" si="13"/>
        <v>0</v>
      </c>
      <c r="V11" s="424">
        <f t="shared" si="14"/>
        <v>4591</v>
      </c>
      <c r="W11" s="419">
        <f t="shared" si="15"/>
        <v>6</v>
      </c>
      <c r="AA11" s="88" t="s">
        <v>30</v>
      </c>
      <c r="AB11" s="142" t="str">
        <f>+G22</f>
        <v> </v>
      </c>
      <c r="AC11" s="58"/>
      <c r="AD11" s="58"/>
      <c r="AE11" s="58"/>
      <c r="AF11" s="86">
        <f>+AE16</f>
        <v>0</v>
      </c>
      <c r="AG11" s="108"/>
      <c r="AH11" s="108"/>
      <c r="AI11" s="125">
        <f t="shared" si="0"/>
        <v>45151</v>
      </c>
      <c r="AJ11" s="108"/>
      <c r="AK11" s="108"/>
      <c r="AL11" s="108"/>
      <c r="AM11" s="108"/>
      <c r="AN11" s="137"/>
      <c r="AO11" s="108"/>
      <c r="AP11" s="108"/>
      <c r="AQ11" s="108"/>
      <c r="AR11" s="108"/>
      <c r="AS11" s="108"/>
      <c r="AT11" s="108"/>
      <c r="AU11" s="143">
        <f>+AS7+AT8</f>
        <v>189140</v>
      </c>
      <c r="AV11" s="108"/>
      <c r="AW11" s="108"/>
      <c r="AX11" s="135"/>
      <c r="AY11" s="135"/>
      <c r="AZ11" s="108"/>
      <c r="BA11" s="108"/>
      <c r="BB11" s="386">
        <v>9300</v>
      </c>
      <c r="BC11" s="386">
        <v>1000</v>
      </c>
      <c r="BD11" s="386"/>
      <c r="BE11" s="386"/>
      <c r="BF11" s="386"/>
      <c r="BG11" s="108"/>
      <c r="BH11" s="108"/>
      <c r="BI11" s="137"/>
      <c r="BL11">
        <f t="shared" si="5"/>
        <v>15000</v>
      </c>
      <c r="BM11">
        <f t="shared" si="6"/>
        <v>2200</v>
      </c>
      <c r="BN11">
        <f t="shared" si="7"/>
        <v>17200</v>
      </c>
      <c r="BO11">
        <f t="shared" si="8"/>
        <v>2000</v>
      </c>
      <c r="BP11">
        <f t="shared" si="9"/>
        <v>600</v>
      </c>
      <c r="BR11">
        <v>9300</v>
      </c>
      <c r="BS11">
        <v>1000</v>
      </c>
    </row>
    <row r="12" spans="1:71" ht="16.5" thickBot="1">
      <c r="A12" s="103" t="s">
        <v>239</v>
      </c>
      <c r="B12" s="398" t="str">
        <f>+B11</f>
        <v>N</v>
      </c>
      <c r="F12" s="43">
        <v>1.39</v>
      </c>
      <c r="G12" s="455">
        <f>DATE(2017,7,1)</f>
        <v>42917</v>
      </c>
      <c r="H12" s="456">
        <f>IF($B$8&lt;7,$H$11,IF($B$8=7,$H$11+$B$7,IF($B$8&gt;7,$H$11)))</f>
        <v>15000</v>
      </c>
      <c r="I12" s="457">
        <f t="shared" si="11"/>
        <v>2200</v>
      </c>
      <c r="J12" s="458">
        <f t="shared" si="12"/>
        <v>23908</v>
      </c>
      <c r="K12" s="457">
        <f t="shared" si="2"/>
        <v>2000</v>
      </c>
      <c r="L12" s="457">
        <f t="shared" si="3"/>
        <v>600</v>
      </c>
      <c r="M12" s="459"/>
      <c r="N12" s="460">
        <f t="shared" si="1"/>
        <v>43708</v>
      </c>
      <c r="O12" s="488">
        <f t="shared" si="4"/>
        <v>0</v>
      </c>
      <c r="P12" s="489">
        <f t="shared" si="4"/>
        <v>0</v>
      </c>
      <c r="Q12" s="489">
        <f t="shared" si="4"/>
        <v>0</v>
      </c>
      <c r="R12" s="489">
        <f t="shared" si="4"/>
        <v>0</v>
      </c>
      <c r="S12" s="489">
        <f t="shared" si="4"/>
        <v>0</v>
      </c>
      <c r="T12" s="489"/>
      <c r="U12" s="490">
        <f t="shared" si="13"/>
        <v>0</v>
      </c>
      <c r="V12" s="424">
        <f t="shared" si="14"/>
        <v>4591</v>
      </c>
      <c r="W12" s="419">
        <f t="shared" si="15"/>
        <v>7</v>
      </c>
      <c r="AA12" s="1026" t="s">
        <v>68</v>
      </c>
      <c r="AB12" s="1027"/>
      <c r="AC12" s="90"/>
      <c r="AD12" s="90"/>
      <c r="AE12" s="90"/>
      <c r="AF12" s="94">
        <f>+AF8+AF9+AF11</f>
        <v>1376</v>
      </c>
      <c r="AG12" s="108"/>
      <c r="AH12" s="108"/>
      <c r="AI12" s="249">
        <f>SUM(AI6:AI11)</f>
        <v>263691</v>
      </c>
      <c r="AJ12" s="139"/>
      <c r="AK12" s="144" t="s">
        <v>4</v>
      </c>
      <c r="AL12" s="145">
        <f>+N14</f>
        <v>43708</v>
      </c>
      <c r="AM12" s="145">
        <f>+AI12</f>
        <v>263691</v>
      </c>
      <c r="AN12" s="128">
        <f>IF(AM12&lt;21000,0,IF(AM12&lt;30000,100,IF(AM12&lt;45000,235,IF(AM12&lt;60000,510,IF(AM12&lt;75000,760,1095)))))</f>
        <v>1095</v>
      </c>
      <c r="AO12" s="108"/>
      <c r="AP12" s="108"/>
      <c r="AQ12" s="108"/>
      <c r="AR12" s="108"/>
      <c r="AS12" s="108"/>
      <c r="AT12" s="108"/>
      <c r="AU12" s="108"/>
      <c r="AV12" s="108"/>
      <c r="AW12" s="108" t="s">
        <v>6</v>
      </c>
      <c r="AX12" s="146">
        <f>IF(AX21&gt;250000,250000,IF(AND(AX21&lt;250001),AX21,0))</f>
        <v>189140</v>
      </c>
      <c r="AY12" s="135"/>
      <c r="AZ12" s="108">
        <v>500000</v>
      </c>
      <c r="BA12" s="108"/>
      <c r="BB12" s="386">
        <v>10600</v>
      </c>
      <c r="BC12" s="386">
        <v>1200</v>
      </c>
      <c r="BD12" s="386"/>
      <c r="BE12" s="386"/>
      <c r="BF12" s="386"/>
      <c r="BG12" s="108"/>
      <c r="BH12" s="108"/>
      <c r="BI12" s="137"/>
      <c r="BL12">
        <f t="shared" si="5"/>
        <v>15000</v>
      </c>
      <c r="BM12">
        <f t="shared" si="6"/>
        <v>2200</v>
      </c>
      <c r="BN12">
        <f t="shared" si="7"/>
        <v>17200</v>
      </c>
      <c r="BO12">
        <f t="shared" si="8"/>
        <v>2000</v>
      </c>
      <c r="BP12">
        <f t="shared" si="9"/>
        <v>600</v>
      </c>
      <c r="BR12">
        <v>10600</v>
      </c>
      <c r="BS12">
        <v>1200</v>
      </c>
    </row>
    <row r="13" spans="1:71" ht="18.75" thickBot="1">
      <c r="A13" s="625" t="s">
        <v>329</v>
      </c>
      <c r="B13" s="624">
        <f>+S96</f>
        <v>8200</v>
      </c>
      <c r="F13" s="43">
        <f t="shared" si="10"/>
        <v>1.39</v>
      </c>
      <c r="G13" s="455">
        <f>DATE(2017,8,1)</f>
        <v>42948</v>
      </c>
      <c r="H13" s="461">
        <f aca="true" t="shared" si="16" ref="H13:H19">+H12</f>
        <v>15000</v>
      </c>
      <c r="I13" s="457">
        <f t="shared" si="11"/>
        <v>2200</v>
      </c>
      <c r="J13" s="458">
        <f t="shared" si="12"/>
        <v>23908</v>
      </c>
      <c r="K13" s="457">
        <f t="shared" si="2"/>
        <v>2000</v>
      </c>
      <c r="L13" s="457">
        <f t="shared" si="3"/>
        <v>600</v>
      </c>
      <c r="M13" s="459"/>
      <c r="N13" s="460">
        <f t="shared" si="1"/>
        <v>43708</v>
      </c>
      <c r="O13" s="488">
        <f t="shared" si="4"/>
        <v>0</v>
      </c>
      <c r="P13" s="489">
        <f t="shared" si="4"/>
        <v>0</v>
      </c>
      <c r="Q13" s="489">
        <f t="shared" si="4"/>
        <v>0</v>
      </c>
      <c r="R13" s="489">
        <f t="shared" si="4"/>
        <v>0</v>
      </c>
      <c r="S13" s="489">
        <f t="shared" si="4"/>
        <v>0</v>
      </c>
      <c r="T13" s="489">
        <f>+AN10</f>
        <v>1095</v>
      </c>
      <c r="U13" s="490">
        <f t="shared" si="13"/>
        <v>0</v>
      </c>
      <c r="V13" s="424">
        <f t="shared" si="14"/>
        <v>4591</v>
      </c>
      <c r="W13" s="419">
        <f t="shared" si="15"/>
        <v>8</v>
      </c>
      <c r="AA13" s="55"/>
      <c r="AB13" s="1"/>
      <c r="AC13" s="1"/>
      <c r="AD13" s="1"/>
      <c r="AE13" s="1"/>
      <c r="AF13" s="34"/>
      <c r="AG13" s="108"/>
      <c r="AH13" s="108"/>
      <c r="AI13" s="147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 t="s">
        <v>8</v>
      </c>
      <c r="AX13" s="146">
        <f>IF(AX21&gt;250000,250000,IF(AND(AX21&lt;250001),AX21,0))</f>
        <v>189140</v>
      </c>
      <c r="AY13" s="135"/>
      <c r="AZ13" s="108">
        <v>250000</v>
      </c>
      <c r="BA13" s="108"/>
      <c r="BB13" s="386">
        <v>11900</v>
      </c>
      <c r="BC13" s="386">
        <v>1400</v>
      </c>
      <c r="BD13" s="386"/>
      <c r="BE13" s="386"/>
      <c r="BF13" s="386"/>
      <c r="BG13" s="108"/>
      <c r="BH13" s="108"/>
      <c r="BI13" s="137"/>
      <c r="BL13">
        <f t="shared" si="5"/>
        <v>15000</v>
      </c>
      <c r="BM13">
        <f t="shared" si="6"/>
        <v>2200</v>
      </c>
      <c r="BN13">
        <f t="shared" si="7"/>
        <v>17200</v>
      </c>
      <c r="BO13">
        <f t="shared" si="8"/>
        <v>2000</v>
      </c>
      <c r="BP13">
        <f t="shared" si="9"/>
        <v>600</v>
      </c>
      <c r="BR13">
        <v>11900</v>
      </c>
      <c r="BS13">
        <v>1400</v>
      </c>
    </row>
    <row r="14" spans="1:71" ht="16.5" thickBot="1">
      <c r="A14" s="626" t="s">
        <v>330</v>
      </c>
      <c r="B14" s="44">
        <f>+N105</f>
        <v>24400</v>
      </c>
      <c r="F14" s="43">
        <f t="shared" si="10"/>
        <v>1.39</v>
      </c>
      <c r="G14" s="455">
        <f>DATE(2017,9,1)</f>
        <v>42979</v>
      </c>
      <c r="H14" s="461">
        <f t="shared" si="16"/>
        <v>15000</v>
      </c>
      <c r="I14" s="457">
        <f t="shared" si="11"/>
        <v>2200</v>
      </c>
      <c r="J14" s="458">
        <f t="shared" si="12"/>
        <v>23908</v>
      </c>
      <c r="K14" s="457">
        <f t="shared" si="2"/>
        <v>2000</v>
      </c>
      <c r="L14" s="457">
        <f t="shared" si="3"/>
        <v>600</v>
      </c>
      <c r="M14" s="459"/>
      <c r="N14" s="460">
        <f t="shared" si="1"/>
        <v>43708</v>
      </c>
      <c r="O14" s="488">
        <f t="shared" si="4"/>
        <v>0</v>
      </c>
      <c r="P14" s="489">
        <f t="shared" si="4"/>
        <v>0</v>
      </c>
      <c r="Q14" s="489">
        <f t="shared" si="4"/>
        <v>0</v>
      </c>
      <c r="R14" s="489">
        <f t="shared" si="4"/>
        <v>0</v>
      </c>
      <c r="S14" s="489">
        <f t="shared" si="4"/>
        <v>0</v>
      </c>
      <c r="T14" s="489"/>
      <c r="U14" s="490">
        <f t="shared" si="13"/>
        <v>0</v>
      </c>
      <c r="V14" s="424">
        <f t="shared" si="14"/>
        <v>4591</v>
      </c>
      <c r="W14" s="419">
        <f t="shared" si="15"/>
        <v>9</v>
      </c>
      <c r="X14" s="10"/>
      <c r="Y14" s="10"/>
      <c r="Z14" s="10"/>
      <c r="AA14" s="91"/>
      <c r="AB14" s="92"/>
      <c r="AC14" s="242"/>
      <c r="AD14" s="242"/>
      <c r="AE14" s="242"/>
      <c r="AF14" s="93"/>
      <c r="AG14" s="108"/>
      <c r="AH14" s="108"/>
      <c r="AI14" s="147"/>
      <c r="AJ14" s="26">
        <f>IF($B$16=0,0,VLOOKUP($G$21,$G$8:$L$17,2)/$B$16)</f>
        <v>0</v>
      </c>
      <c r="AK14" s="108"/>
      <c r="AL14" s="248">
        <f>IF($B$19=0,0,VLOOKUP($G$22,$G$18:$L$19,2)/$B$19)</f>
        <v>0</v>
      </c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>
        <f>+AZ12-AZ13</f>
        <v>250000</v>
      </c>
      <c r="BA14" s="108"/>
      <c r="BB14" s="386">
        <v>13770</v>
      </c>
      <c r="BC14" s="386">
        <v>1600</v>
      </c>
      <c r="BD14" s="386"/>
      <c r="BE14" s="386"/>
      <c r="BF14" s="386"/>
      <c r="BG14" s="108"/>
      <c r="BH14" s="108"/>
      <c r="BI14" s="137"/>
      <c r="BL14">
        <f t="shared" si="5"/>
        <v>15000</v>
      </c>
      <c r="BM14">
        <f t="shared" si="6"/>
        <v>2200</v>
      </c>
      <c r="BN14">
        <f t="shared" si="7"/>
        <v>17200</v>
      </c>
      <c r="BO14">
        <f t="shared" si="8"/>
        <v>2000</v>
      </c>
      <c r="BP14">
        <f t="shared" si="9"/>
        <v>600</v>
      </c>
      <c r="BR14">
        <v>13770</v>
      </c>
      <c r="BS14">
        <v>1600</v>
      </c>
    </row>
    <row r="15" spans="1:71" ht="16.5" thickBot="1">
      <c r="A15" s="104" t="s">
        <v>283</v>
      </c>
      <c r="B15" s="21">
        <v>0</v>
      </c>
      <c r="F15" s="43">
        <f t="shared" si="10"/>
        <v>1.39</v>
      </c>
      <c r="G15" s="455">
        <f>DATE(2017,10,1)</f>
        <v>43009</v>
      </c>
      <c r="H15" s="456">
        <f>IF($B$8&lt;10,$H$14,IF($B$8=10,$H$14+$B$7,IF($B$8&gt;10,$H$14)))</f>
        <v>15000</v>
      </c>
      <c r="I15" s="457">
        <f t="shared" si="11"/>
        <v>2200</v>
      </c>
      <c r="J15" s="458">
        <f t="shared" si="12"/>
        <v>23908</v>
      </c>
      <c r="K15" s="457">
        <f t="shared" si="2"/>
        <v>2000</v>
      </c>
      <c r="L15" s="457">
        <f t="shared" si="3"/>
        <v>600</v>
      </c>
      <c r="M15" s="459"/>
      <c r="N15" s="460">
        <f t="shared" si="1"/>
        <v>43708</v>
      </c>
      <c r="O15" s="488">
        <f>+O14</f>
        <v>0</v>
      </c>
      <c r="P15" s="489">
        <f t="shared" si="4"/>
        <v>0</v>
      </c>
      <c r="Q15" s="489">
        <f t="shared" si="4"/>
        <v>0</v>
      </c>
      <c r="R15" s="489">
        <f t="shared" si="4"/>
        <v>0</v>
      </c>
      <c r="S15" s="489">
        <f t="shared" si="4"/>
        <v>0</v>
      </c>
      <c r="T15" s="489"/>
      <c r="U15" s="490">
        <f t="shared" si="13"/>
        <v>0</v>
      </c>
      <c r="V15" s="424">
        <f t="shared" si="14"/>
        <v>4591</v>
      </c>
      <c r="W15" s="419">
        <f t="shared" si="15"/>
        <v>10</v>
      </c>
      <c r="AA15" s="239"/>
      <c r="AB15" s="241"/>
      <c r="AC15" s="243"/>
      <c r="AD15" s="243"/>
      <c r="AE15" s="244"/>
      <c r="AF15" s="148"/>
      <c r="AG15" s="108"/>
      <c r="AH15" s="108"/>
      <c r="AI15" s="147"/>
      <c r="AJ15" s="26">
        <f>IF($B$16=0,0,VLOOKUP($G$21,$G$8:$L$17,3)/$B$16)</f>
        <v>0</v>
      </c>
      <c r="AK15" s="108"/>
      <c r="AL15" s="26">
        <f>IF($B$19=0,0,VLOOKUP($G$22,$G$18:$L$19,3)/$B$19)</f>
        <v>0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386">
        <v>14510</v>
      </c>
      <c r="BC15" s="386">
        <v>1800</v>
      </c>
      <c r="BD15" s="386"/>
      <c r="BE15" s="386"/>
      <c r="BF15" s="386"/>
      <c r="BG15" s="108"/>
      <c r="BH15" s="108"/>
      <c r="BI15" s="137"/>
      <c r="BL15">
        <f t="shared" si="5"/>
        <v>15000</v>
      </c>
      <c r="BM15">
        <f t="shared" si="6"/>
        <v>2200</v>
      </c>
      <c r="BN15">
        <f t="shared" si="7"/>
        <v>17200</v>
      </c>
      <c r="BO15">
        <f t="shared" si="8"/>
        <v>2000</v>
      </c>
      <c r="BP15">
        <f t="shared" si="9"/>
        <v>600</v>
      </c>
      <c r="BR15">
        <v>14510</v>
      </c>
      <c r="BS15">
        <v>1800</v>
      </c>
    </row>
    <row r="16" spans="1:71" ht="15.75">
      <c r="A16" s="15"/>
      <c r="B16" s="21">
        <v>0</v>
      </c>
      <c r="F16" s="43">
        <f t="shared" si="10"/>
        <v>1.39</v>
      </c>
      <c r="G16" s="455">
        <f>DATE(2017,11,1)</f>
        <v>43040</v>
      </c>
      <c r="H16" s="461">
        <f t="shared" si="16"/>
        <v>15000</v>
      </c>
      <c r="I16" s="457">
        <f t="shared" si="11"/>
        <v>2200</v>
      </c>
      <c r="J16" s="458">
        <f t="shared" si="12"/>
        <v>23908</v>
      </c>
      <c r="K16" s="457">
        <f t="shared" si="2"/>
        <v>2000</v>
      </c>
      <c r="L16" s="457">
        <f t="shared" si="3"/>
        <v>600</v>
      </c>
      <c r="M16" s="459"/>
      <c r="N16" s="460">
        <f t="shared" si="1"/>
        <v>43708</v>
      </c>
      <c r="O16" s="488">
        <f>+O15</f>
        <v>0</v>
      </c>
      <c r="P16" s="489">
        <f t="shared" si="4"/>
        <v>0</v>
      </c>
      <c r="Q16" s="489">
        <f t="shared" si="4"/>
        <v>0</v>
      </c>
      <c r="R16" s="489">
        <f t="shared" si="4"/>
        <v>0</v>
      </c>
      <c r="S16" s="489">
        <f t="shared" si="4"/>
        <v>0</v>
      </c>
      <c r="T16" s="489"/>
      <c r="U16" s="491">
        <f>AO16</f>
        <v>1200</v>
      </c>
      <c r="V16" s="424">
        <f t="shared" si="14"/>
        <v>3391</v>
      </c>
      <c r="W16" s="429">
        <f t="shared" si="15"/>
        <v>11</v>
      </c>
      <c r="AA16" s="25" t="str">
        <f>IF($B$18=0," ",DATE(2017,$B$18,1))</f>
        <v> </v>
      </c>
      <c r="AB16" s="26"/>
      <c r="AC16" s="240"/>
      <c r="AD16" s="240"/>
      <c r="AE16" s="26">
        <f>IF($B19=0,0,VLOOKUP($AA16,$AA8:$AF8,6)/$B$19)</f>
        <v>0</v>
      </c>
      <c r="AF16" s="149">
        <v>0</v>
      </c>
      <c r="AG16" s="108"/>
      <c r="AH16" s="108"/>
      <c r="AI16" s="147"/>
      <c r="AJ16" s="26">
        <f>IF($B$16=0,0,VLOOKUP($G$21,$G$8:$L$17,4)/$B$16)</f>
        <v>0</v>
      </c>
      <c r="AK16" s="108"/>
      <c r="AL16" s="26">
        <f>IF($B$19=0,0,VLOOKUP($G$22,$G$18:$L$19,4)/$B$19)</f>
        <v>0</v>
      </c>
      <c r="AM16" s="108"/>
      <c r="AN16" s="400">
        <f>ROUND(V15/4,0)</f>
        <v>1148</v>
      </c>
      <c r="AO16" s="401">
        <f>CEILING(AN16,100)</f>
        <v>1200</v>
      </c>
      <c r="AP16" s="77">
        <f>ROUNDDOWN(AN16,0.1)</f>
        <v>1148</v>
      </c>
      <c r="AQ16" s="108"/>
      <c r="AR16" s="108"/>
      <c r="AS16" s="126">
        <v>9</v>
      </c>
      <c r="AT16" s="150" t="s">
        <v>41</v>
      </c>
      <c r="AU16" s="108"/>
      <c r="AV16" s="108"/>
      <c r="AW16" s="108"/>
      <c r="AX16" s="151">
        <f>IF(U40&gt;100001,100000,IF(AND(U40&lt;100001),U40))</f>
        <v>0</v>
      </c>
      <c r="AY16" s="108"/>
      <c r="AZ16" s="108"/>
      <c r="BA16" s="108"/>
      <c r="BB16" s="386">
        <v>16000</v>
      </c>
      <c r="BC16" s="386">
        <v>2000</v>
      </c>
      <c r="BD16" s="386"/>
      <c r="BE16" s="386"/>
      <c r="BF16" s="386"/>
      <c r="BG16" s="108"/>
      <c r="BH16" s="108"/>
      <c r="BI16" s="137"/>
      <c r="BL16">
        <f t="shared" si="5"/>
        <v>15000</v>
      </c>
      <c r="BM16">
        <f t="shared" si="6"/>
        <v>2200</v>
      </c>
      <c r="BN16">
        <f t="shared" si="7"/>
        <v>17200</v>
      </c>
      <c r="BO16">
        <f t="shared" si="8"/>
        <v>2000</v>
      </c>
      <c r="BP16">
        <f t="shared" si="9"/>
        <v>600</v>
      </c>
      <c r="BR16">
        <v>16000</v>
      </c>
      <c r="BS16">
        <v>2000</v>
      </c>
    </row>
    <row r="17" spans="1:71" ht="15.75">
      <c r="A17" s="15"/>
      <c r="B17" s="22"/>
      <c r="F17" s="43">
        <f t="shared" si="10"/>
        <v>1.39</v>
      </c>
      <c r="G17" s="455">
        <f>DATE(2017,12,1)</f>
        <v>43070</v>
      </c>
      <c r="H17" s="461">
        <f>+H16</f>
        <v>15000</v>
      </c>
      <c r="I17" s="457">
        <f t="shared" si="11"/>
        <v>2200</v>
      </c>
      <c r="J17" s="458">
        <f t="shared" si="12"/>
        <v>23908</v>
      </c>
      <c r="K17" s="457">
        <f t="shared" si="2"/>
        <v>2000</v>
      </c>
      <c r="L17" s="457">
        <f t="shared" si="3"/>
        <v>600</v>
      </c>
      <c r="M17" s="459"/>
      <c r="N17" s="460">
        <f t="shared" si="1"/>
        <v>43708</v>
      </c>
      <c r="O17" s="488">
        <f>+O16</f>
        <v>0</v>
      </c>
      <c r="P17" s="489">
        <f t="shared" si="4"/>
        <v>0</v>
      </c>
      <c r="Q17" s="489">
        <f t="shared" si="4"/>
        <v>0</v>
      </c>
      <c r="R17" s="489">
        <f t="shared" si="4"/>
        <v>0</v>
      </c>
      <c r="S17" s="489">
        <f t="shared" si="4"/>
        <v>0</v>
      </c>
      <c r="T17" s="489"/>
      <c r="U17" s="491">
        <f>AO17</f>
        <v>1200</v>
      </c>
      <c r="V17" s="425">
        <f t="shared" si="14"/>
        <v>2191</v>
      </c>
      <c r="W17" s="419">
        <f t="shared" si="15"/>
        <v>12</v>
      </c>
      <c r="AA17" s="157">
        <v>1</v>
      </c>
      <c r="AB17" s="236">
        <f>DATE(2017,1,1)</f>
        <v>42736</v>
      </c>
      <c r="AC17" s="240"/>
      <c r="AD17" s="240"/>
      <c r="AE17" s="246">
        <f>DATE(2017,1,1)</f>
        <v>42736</v>
      </c>
      <c r="AF17" s="153">
        <f>ROUND(+AF8/2,0)</f>
        <v>344</v>
      </c>
      <c r="AG17" s="108"/>
      <c r="AH17" s="108"/>
      <c r="AI17" s="147"/>
      <c r="AJ17" s="26">
        <f>IF($B$16=0,0,VLOOKUP($G$21,$G$8:$L$17,5)/$B$16)</f>
        <v>0</v>
      </c>
      <c r="AK17" s="108"/>
      <c r="AL17" s="26">
        <f>IF($B$19=0,0,VLOOKUP($G$22,$G$18:$L$19,5)/$B$19)</f>
        <v>0</v>
      </c>
      <c r="AM17" s="108"/>
      <c r="AN17" s="402">
        <f>ROUND(V16/3,0)</f>
        <v>1130</v>
      </c>
      <c r="AO17" s="401">
        <f>CEILING(AN17,100)</f>
        <v>1200</v>
      </c>
      <c r="AP17" s="108"/>
      <c r="AQ17" s="108"/>
      <c r="AR17" s="108"/>
      <c r="AS17" s="154" t="s">
        <v>83</v>
      </c>
      <c r="AT17" s="134" t="s">
        <v>82</v>
      </c>
      <c r="AU17" s="134"/>
      <c r="AV17" s="134"/>
      <c r="AW17" s="135"/>
      <c r="AX17" s="155">
        <f>+U43</f>
        <v>0</v>
      </c>
      <c r="AY17" s="108"/>
      <c r="AZ17" s="108"/>
      <c r="BA17" s="108"/>
      <c r="BB17" s="386">
        <v>17300</v>
      </c>
      <c r="BC17" s="386">
        <v>2200</v>
      </c>
      <c r="BD17" s="386"/>
      <c r="BE17" s="386"/>
      <c r="BF17" s="386"/>
      <c r="BG17" s="108"/>
      <c r="BH17" s="108"/>
      <c r="BI17" s="137"/>
      <c r="BL17">
        <f t="shared" si="5"/>
        <v>15000</v>
      </c>
      <c r="BM17">
        <f t="shared" si="6"/>
        <v>2200</v>
      </c>
      <c r="BN17">
        <f t="shared" si="7"/>
        <v>17200</v>
      </c>
      <c r="BO17">
        <f t="shared" si="8"/>
        <v>2000</v>
      </c>
      <c r="BP17">
        <f t="shared" si="9"/>
        <v>600</v>
      </c>
      <c r="BR17">
        <v>17300</v>
      </c>
      <c r="BS17">
        <v>2200</v>
      </c>
    </row>
    <row r="18" spans="1:71" ht="15.75">
      <c r="A18" s="104" t="s">
        <v>295</v>
      </c>
      <c r="B18" s="21">
        <v>0</v>
      </c>
      <c r="F18" s="43">
        <f t="shared" si="10"/>
        <v>1.39</v>
      </c>
      <c r="G18" s="455">
        <f>DATE(2018,1,1)</f>
        <v>43101</v>
      </c>
      <c r="H18" s="461">
        <f>IF($B$8&lt;1,$H$17,IF($B$8=1,$H$17+$B$7,IF($B$8&gt;1,$H$17)))</f>
        <v>15520</v>
      </c>
      <c r="I18" s="457">
        <f t="shared" si="11"/>
        <v>2200</v>
      </c>
      <c r="J18" s="458">
        <f t="shared" si="12"/>
        <v>24631</v>
      </c>
      <c r="K18" s="457">
        <f t="shared" si="2"/>
        <v>2200</v>
      </c>
      <c r="L18" s="457">
        <f t="shared" si="3"/>
        <v>600</v>
      </c>
      <c r="M18" s="459"/>
      <c r="N18" s="460">
        <f t="shared" si="1"/>
        <v>45151</v>
      </c>
      <c r="O18" s="488">
        <f>+O17</f>
        <v>0</v>
      </c>
      <c r="P18" s="489">
        <f t="shared" si="4"/>
        <v>0</v>
      </c>
      <c r="Q18" s="489">
        <f t="shared" si="4"/>
        <v>0</v>
      </c>
      <c r="R18" s="489">
        <f t="shared" si="4"/>
        <v>0</v>
      </c>
      <c r="S18" s="489">
        <f t="shared" si="4"/>
        <v>0</v>
      </c>
      <c r="T18" s="489">
        <f>+AN12</f>
        <v>1095</v>
      </c>
      <c r="U18" s="491">
        <f>AO18</f>
        <v>1100</v>
      </c>
      <c r="V18" s="425">
        <f t="shared" si="14"/>
        <v>1091</v>
      </c>
      <c r="W18" s="420">
        <v>1</v>
      </c>
      <c r="AA18" s="157">
        <v>2</v>
      </c>
      <c r="AB18" s="236">
        <f>DATE(2017,2,1)</f>
        <v>42767</v>
      </c>
      <c r="AC18" s="240"/>
      <c r="AD18" s="240"/>
      <c r="AE18" s="246">
        <f>DATE(2017,2,1)</f>
        <v>42767</v>
      </c>
      <c r="AF18" s="153">
        <f>ROUND(+AF9/2,0)</f>
        <v>344</v>
      </c>
      <c r="AG18" s="108"/>
      <c r="AH18" s="108"/>
      <c r="AI18" s="147"/>
      <c r="AJ18" s="26">
        <f>IF($B$16=0,0,VLOOKUP($G$21,$G$8:$L$17,6)/$B$16)</f>
        <v>0</v>
      </c>
      <c r="AK18" s="108"/>
      <c r="AL18" s="248">
        <f>IF($B$19=0,0,VLOOKUP($G$22,$G$18:$L$19,6)/$B$19)</f>
        <v>0</v>
      </c>
      <c r="AM18" s="108"/>
      <c r="AN18" s="402">
        <f>ROUND(V17/2,0)</f>
        <v>1096</v>
      </c>
      <c r="AO18" s="401">
        <f>CEILING(AN18,100)</f>
        <v>1100</v>
      </c>
      <c r="AP18" s="108"/>
      <c r="AQ18" s="108"/>
      <c r="AR18" s="108"/>
      <c r="AS18" s="126"/>
      <c r="AT18" s="150" t="s">
        <v>3</v>
      </c>
      <c r="AU18" s="150"/>
      <c r="AV18" s="150"/>
      <c r="AW18" s="108"/>
      <c r="AX18" s="156">
        <f>+AX16+AX17</f>
        <v>0</v>
      </c>
      <c r="AY18" s="108"/>
      <c r="AZ18" s="108"/>
      <c r="BA18" s="108"/>
      <c r="BB18" s="386">
        <v>19530</v>
      </c>
      <c r="BC18" s="386">
        <v>2400</v>
      </c>
      <c r="BD18" s="386"/>
      <c r="BE18" s="386"/>
      <c r="BF18" s="386"/>
      <c r="BG18" s="108"/>
      <c r="BH18" s="108"/>
      <c r="BI18" s="137"/>
      <c r="BL18">
        <f t="shared" si="5"/>
        <v>15520</v>
      </c>
      <c r="BM18">
        <f t="shared" si="6"/>
        <v>2200</v>
      </c>
      <c r="BN18">
        <f t="shared" si="7"/>
        <v>17720</v>
      </c>
      <c r="BO18">
        <f t="shared" si="8"/>
        <v>2200</v>
      </c>
      <c r="BP18">
        <f t="shared" si="9"/>
        <v>600</v>
      </c>
      <c r="BR18">
        <v>19530</v>
      </c>
      <c r="BS18">
        <v>2400</v>
      </c>
    </row>
    <row r="19" spans="1:71" ht="15.75">
      <c r="A19" s="15"/>
      <c r="B19" s="21">
        <v>0</v>
      </c>
      <c r="F19" s="43">
        <f t="shared" si="10"/>
        <v>1.39</v>
      </c>
      <c r="G19" s="455">
        <f>DATE(2018,2,1)</f>
        <v>43132</v>
      </c>
      <c r="H19" s="461">
        <f t="shared" si="16"/>
        <v>15520</v>
      </c>
      <c r="I19" s="457">
        <f t="shared" si="11"/>
        <v>2200</v>
      </c>
      <c r="J19" s="458">
        <f t="shared" si="12"/>
        <v>24631</v>
      </c>
      <c r="K19" s="457">
        <f t="shared" si="2"/>
        <v>2200</v>
      </c>
      <c r="L19" s="457">
        <f t="shared" si="3"/>
        <v>600</v>
      </c>
      <c r="M19" s="459"/>
      <c r="N19" s="460">
        <f t="shared" si="1"/>
        <v>45151</v>
      </c>
      <c r="O19" s="488">
        <f>+O18</f>
        <v>0</v>
      </c>
      <c r="P19" s="489">
        <f t="shared" si="4"/>
        <v>0</v>
      </c>
      <c r="Q19" s="489">
        <f t="shared" si="4"/>
        <v>0</v>
      </c>
      <c r="R19" s="489">
        <f t="shared" si="4"/>
        <v>0</v>
      </c>
      <c r="S19" s="489">
        <f t="shared" si="4"/>
        <v>0</v>
      </c>
      <c r="T19" s="489"/>
      <c r="U19" s="492">
        <f>V18</f>
        <v>1091</v>
      </c>
      <c r="V19" s="425">
        <f t="shared" si="14"/>
        <v>0</v>
      </c>
      <c r="W19" s="420">
        <f t="shared" si="15"/>
        <v>2</v>
      </c>
      <c r="AA19" s="157">
        <v>3</v>
      </c>
      <c r="AB19" s="237">
        <v>0</v>
      </c>
      <c r="AC19" s="240"/>
      <c r="AD19" s="240"/>
      <c r="AE19" s="245"/>
      <c r="AF19" s="153"/>
      <c r="AG19" s="108"/>
      <c r="AH19" s="108"/>
      <c r="AI19" s="147"/>
      <c r="AJ19" s="247">
        <f>SUM(AJ14:AJ18)</f>
        <v>0</v>
      </c>
      <c r="AK19" s="108"/>
      <c r="AL19" s="247">
        <f>SUM(AL14:AL18)</f>
        <v>0</v>
      </c>
      <c r="AM19" s="108"/>
      <c r="AN19" s="402">
        <f>ROUND(V18/1,0)</f>
        <v>1091</v>
      </c>
      <c r="AO19" s="401">
        <f>CEILING(AN19,100)</f>
        <v>1100</v>
      </c>
      <c r="AP19" s="108"/>
      <c r="AQ19" s="108"/>
      <c r="AR19" s="108"/>
      <c r="AS19" s="126">
        <v>10</v>
      </c>
      <c r="AT19" s="150" t="str">
        <f>+H45</f>
        <v>SAVINGS TOTAL</v>
      </c>
      <c r="AU19" s="150"/>
      <c r="AV19" s="150"/>
      <c r="AW19" s="150"/>
      <c r="AX19" s="159">
        <f>+U45</f>
        <v>439140</v>
      </c>
      <c r="AY19" s="108"/>
      <c r="AZ19" s="108"/>
      <c r="BA19" s="108"/>
      <c r="BB19" s="386">
        <v>20090</v>
      </c>
      <c r="BC19" s="386">
        <v>2600</v>
      </c>
      <c r="BD19" s="386"/>
      <c r="BE19" s="386"/>
      <c r="BF19" s="386"/>
      <c r="BG19" s="108"/>
      <c r="BH19" s="108"/>
      <c r="BI19" s="137"/>
      <c r="BL19">
        <f t="shared" si="5"/>
        <v>15520</v>
      </c>
      <c r="BM19">
        <f t="shared" si="6"/>
        <v>2200</v>
      </c>
      <c r="BN19">
        <f t="shared" si="7"/>
        <v>17720</v>
      </c>
      <c r="BO19">
        <f t="shared" si="8"/>
        <v>2200</v>
      </c>
      <c r="BP19">
        <f t="shared" si="9"/>
        <v>600</v>
      </c>
      <c r="BR19">
        <v>20090</v>
      </c>
      <c r="BS19">
        <v>2600</v>
      </c>
    </row>
    <row r="20" spans="1:71" ht="18">
      <c r="A20" s="528" t="s">
        <v>244</v>
      </c>
      <c r="B20" s="527" t="s">
        <v>237</v>
      </c>
      <c r="F20" s="39"/>
      <c r="G20" s="462" t="s">
        <v>30</v>
      </c>
      <c r="H20" s="463"/>
      <c r="I20" s="457"/>
      <c r="J20" s="457"/>
      <c r="K20" s="457"/>
      <c r="L20" s="457"/>
      <c r="M20" s="459"/>
      <c r="N20" s="460"/>
      <c r="O20" s="488"/>
      <c r="P20" s="489"/>
      <c r="Q20" s="489"/>
      <c r="R20" s="489"/>
      <c r="S20" s="489"/>
      <c r="T20" s="489"/>
      <c r="U20" s="490"/>
      <c r="V20" s="424"/>
      <c r="W20" s="417"/>
      <c r="AA20" s="157">
        <v>4</v>
      </c>
      <c r="AB20" s="237">
        <v>0</v>
      </c>
      <c r="AC20" s="240"/>
      <c r="AD20" s="240"/>
      <c r="AE20" s="238"/>
      <c r="AF20" s="160"/>
      <c r="AG20" s="108"/>
      <c r="AH20" s="108"/>
      <c r="AI20" s="147"/>
      <c r="AJ20" s="108"/>
      <c r="AK20" s="108"/>
      <c r="AL20" s="108"/>
      <c r="AM20" s="108"/>
      <c r="AN20" s="390">
        <v>0</v>
      </c>
      <c r="AO20" s="390">
        <v>0</v>
      </c>
      <c r="AP20" s="108"/>
      <c r="AQ20" s="108"/>
      <c r="AR20" s="108"/>
      <c r="AS20" s="126">
        <v>11</v>
      </c>
      <c r="AT20" s="150" t="str">
        <f>VLOOKUP(B4,AW6:AX7,2)</f>
        <v>UPTO RS.250000/= (   NIL  )</v>
      </c>
      <c r="AU20" s="150"/>
      <c r="AV20" s="150"/>
      <c r="AW20" s="150"/>
      <c r="AX20" s="161">
        <f>VLOOKUP(B4,AP6:AQ7,2,FALSE)</f>
        <v>250000</v>
      </c>
      <c r="AY20" s="108"/>
      <c r="AZ20" s="108"/>
      <c r="BA20" s="108"/>
      <c r="BB20" s="386">
        <v>21020</v>
      </c>
      <c r="BC20" s="386">
        <v>2800</v>
      </c>
      <c r="BD20" s="386"/>
      <c r="BE20" s="386"/>
      <c r="BF20" s="386"/>
      <c r="BG20" s="108"/>
      <c r="BH20" s="108"/>
      <c r="BI20" s="137"/>
      <c r="BR20">
        <v>21020</v>
      </c>
      <c r="BS20">
        <v>2800</v>
      </c>
    </row>
    <row r="21" spans="1:71" ht="18.75" thickBot="1">
      <c r="A21" s="528" t="s">
        <v>285</v>
      </c>
      <c r="B21" s="527" t="s">
        <v>237</v>
      </c>
      <c r="F21" s="39"/>
      <c r="G21" s="464" t="str">
        <f>IF($B$15=0," ",DATE(2017,$B$15,1))</f>
        <v> </v>
      </c>
      <c r="H21" s="465"/>
      <c r="I21" s="466"/>
      <c r="J21" s="466"/>
      <c r="K21" s="466"/>
      <c r="L21" s="466"/>
      <c r="M21" s="467"/>
      <c r="N21" s="468">
        <f>+AJ19</f>
        <v>0</v>
      </c>
      <c r="O21" s="488"/>
      <c r="P21" s="489"/>
      <c r="Q21" s="489"/>
      <c r="R21" s="489"/>
      <c r="S21" s="489"/>
      <c r="T21" s="489"/>
      <c r="U21" s="490"/>
      <c r="V21" s="426"/>
      <c r="W21" s="421">
        <v>4</v>
      </c>
      <c r="AA21" s="157">
        <v>5</v>
      </c>
      <c r="AB21" s="237">
        <v>0</v>
      </c>
      <c r="AC21" s="240"/>
      <c r="AD21" s="240"/>
      <c r="AE21" s="238" t="s">
        <v>71</v>
      </c>
      <c r="AF21" s="160">
        <v>1000</v>
      </c>
      <c r="AG21" s="108"/>
      <c r="AH21" s="108"/>
      <c r="AI21" s="147"/>
      <c r="AJ21" s="108"/>
      <c r="AK21" s="108"/>
      <c r="AL21" s="108"/>
      <c r="AM21" s="108"/>
      <c r="AN21" s="79">
        <v>1</v>
      </c>
      <c r="AO21" s="79">
        <f>U19</f>
        <v>1091</v>
      </c>
      <c r="AP21" s="108"/>
      <c r="AQ21" s="108"/>
      <c r="AR21" s="108"/>
      <c r="AS21" s="150"/>
      <c r="AT21" s="150"/>
      <c r="AU21" s="150"/>
      <c r="AV21" s="150"/>
      <c r="AW21" s="150"/>
      <c r="AX21" s="156">
        <f>+AX19-AX20</f>
        <v>189140</v>
      </c>
      <c r="AY21" s="108"/>
      <c r="AZ21" s="108"/>
      <c r="BA21" s="108"/>
      <c r="BB21" s="386">
        <v>21580</v>
      </c>
      <c r="BC21" s="386">
        <v>2900</v>
      </c>
      <c r="BD21" s="386"/>
      <c r="BE21" s="386"/>
      <c r="BF21" s="386"/>
      <c r="BG21" s="108"/>
      <c r="BH21" s="108"/>
      <c r="BI21" s="137"/>
      <c r="BR21">
        <v>21580</v>
      </c>
      <c r="BS21">
        <v>2900</v>
      </c>
    </row>
    <row r="22" spans="1:71" ht="18.75" thickBot="1">
      <c r="A22" s="50" t="s">
        <v>65</v>
      </c>
      <c r="B22" s="24"/>
      <c r="F22" s="40"/>
      <c r="G22" s="469" t="str">
        <f>IF($B$18=0," ",DATE(2018,$B$18,1))</f>
        <v> </v>
      </c>
      <c r="H22" s="470"/>
      <c r="I22" s="471"/>
      <c r="J22" s="471"/>
      <c r="K22" s="471"/>
      <c r="L22" s="471"/>
      <c r="M22" s="472"/>
      <c r="N22" s="473">
        <f>+AL19</f>
        <v>0</v>
      </c>
      <c r="O22" s="493"/>
      <c r="P22" s="494"/>
      <c r="Q22" s="494"/>
      <c r="R22" s="494"/>
      <c r="S22" s="494"/>
      <c r="T22" s="494"/>
      <c r="U22" s="495"/>
      <c r="V22" s="427"/>
      <c r="W22" s="422">
        <f>VLOOKUP(W21,AN20:AO25,2)</f>
        <v>4591</v>
      </c>
      <c r="AA22" s="157">
        <v>6</v>
      </c>
      <c r="AB22" s="237">
        <v>0</v>
      </c>
      <c r="AC22" s="240"/>
      <c r="AD22" s="240"/>
      <c r="AE22" s="238" t="s">
        <v>73</v>
      </c>
      <c r="AF22" s="163">
        <v>16800</v>
      </c>
      <c r="AG22" s="108"/>
      <c r="AH22" s="108"/>
      <c r="AI22" s="147"/>
      <c r="AJ22" s="108"/>
      <c r="AK22" s="108"/>
      <c r="AL22" s="108"/>
      <c r="AM22" s="108"/>
      <c r="AN22" s="79">
        <v>2</v>
      </c>
      <c r="AO22" s="403">
        <f>+U18+U19</f>
        <v>2191</v>
      </c>
      <c r="AP22" s="108"/>
      <c r="AQ22" s="108"/>
      <c r="AR22" s="108"/>
      <c r="AS22" s="108"/>
      <c r="AT22" s="1020" t="str">
        <f>VLOOKUP(B4,AW9:AX10,2)</f>
        <v>250001  TO  500000  5%</v>
      </c>
      <c r="AU22" s="1020"/>
      <c r="AV22" s="1020"/>
      <c r="AW22" s="164">
        <f>VLOOKUP(B4,AW12:AX13,2)</f>
        <v>189140</v>
      </c>
      <c r="AX22" s="165">
        <f>ROUND(+AW22*10%,0)</f>
        <v>18914</v>
      </c>
      <c r="AY22" s="108"/>
      <c r="AZ22" s="108"/>
      <c r="BA22" s="108"/>
      <c r="BB22" s="386">
        <v>22140</v>
      </c>
      <c r="BC22" s="386">
        <v>3000</v>
      </c>
      <c r="BD22" s="386"/>
      <c r="BE22" s="386"/>
      <c r="BF22" s="386"/>
      <c r="BG22" s="108"/>
      <c r="BH22" s="108"/>
      <c r="BI22" s="137"/>
      <c r="BR22">
        <v>22140</v>
      </c>
      <c r="BS22">
        <v>3000</v>
      </c>
    </row>
    <row r="23" spans="1:71" ht="17.25" thickBot="1">
      <c r="A23" s="78">
        <f>+B5</f>
        <v>15000</v>
      </c>
      <c r="B23" s="24"/>
      <c r="F23" s="41"/>
      <c r="G23" s="474" t="s">
        <v>3</v>
      </c>
      <c r="H23" s="475">
        <f>SUM(H8:H19)</f>
        <v>181040</v>
      </c>
      <c r="I23" s="476">
        <f>SUM(I8:I19)</f>
        <v>26400</v>
      </c>
      <c r="J23" s="476">
        <f>SUM(J8:J19)</f>
        <v>286278</v>
      </c>
      <c r="K23" s="476">
        <f>SUM(K8:K19)</f>
        <v>24400</v>
      </c>
      <c r="L23" s="476">
        <f>SUM(L8:L19)</f>
        <v>7200</v>
      </c>
      <c r="M23" s="477"/>
      <c r="N23" s="478">
        <f aca="true" t="shared" si="17" ref="N23:U23">SUM(N8:N22)</f>
        <v>525318</v>
      </c>
      <c r="O23" s="496">
        <f t="shared" si="17"/>
        <v>0</v>
      </c>
      <c r="P23" s="497">
        <f t="shared" si="17"/>
        <v>0</v>
      </c>
      <c r="Q23" s="497">
        <f t="shared" si="17"/>
        <v>0</v>
      </c>
      <c r="R23" s="497">
        <f t="shared" si="17"/>
        <v>0</v>
      </c>
      <c r="S23" s="497">
        <f t="shared" si="17"/>
        <v>0</v>
      </c>
      <c r="T23" s="497">
        <f t="shared" si="17"/>
        <v>2190</v>
      </c>
      <c r="U23" s="498">
        <f t="shared" si="17"/>
        <v>4591</v>
      </c>
      <c r="V23" s="435">
        <f>V7</f>
        <v>4591</v>
      </c>
      <c r="W23" s="549">
        <f>+U23-V23</f>
        <v>0</v>
      </c>
      <c r="AA23" s="157">
        <v>7</v>
      </c>
      <c r="AB23" s="237">
        <v>0</v>
      </c>
      <c r="AC23" s="240"/>
      <c r="AD23" s="240"/>
      <c r="AE23" s="238" t="str">
        <f>+D3</f>
        <v>S</v>
      </c>
      <c r="AF23" s="163">
        <f>VLOOKUP(+AE23,AE21:AF22,2)</f>
        <v>16800</v>
      </c>
      <c r="AG23" s="108"/>
      <c r="AH23" s="108"/>
      <c r="AI23" s="138"/>
      <c r="AJ23" s="139"/>
      <c r="AK23" s="139"/>
      <c r="AL23" s="139"/>
      <c r="AM23" s="139"/>
      <c r="AN23" s="79">
        <v>3</v>
      </c>
      <c r="AO23" s="403">
        <f>+U17+U18+U19</f>
        <v>3391</v>
      </c>
      <c r="AP23" s="139"/>
      <c r="AQ23" s="139"/>
      <c r="AR23" s="139"/>
      <c r="AS23" s="139"/>
      <c r="AT23" s="150" t="s">
        <v>227</v>
      </c>
      <c r="AU23" s="150"/>
      <c r="AV23" s="150"/>
      <c r="AW23" s="166">
        <f>IF(AX21&gt;500000,BH7,IF(AX21&lt;1000000,BH6,0))</f>
        <v>0</v>
      </c>
      <c r="AX23" s="165">
        <f>ROUND(+AW23*20%,0)</f>
        <v>0</v>
      </c>
      <c r="AY23" s="139"/>
      <c r="AZ23" s="139"/>
      <c r="BA23" s="139"/>
      <c r="BB23" s="387">
        <v>25000</v>
      </c>
      <c r="BC23" s="387">
        <v>3200</v>
      </c>
      <c r="BD23" s="386"/>
      <c r="BE23" s="386"/>
      <c r="BF23" s="386"/>
      <c r="BG23" s="139"/>
      <c r="BH23" s="139"/>
      <c r="BI23" s="128"/>
      <c r="BR23" s="385">
        <v>25000</v>
      </c>
      <c r="BS23" s="385">
        <v>3200</v>
      </c>
    </row>
    <row r="24" spans="1:61" ht="15.75">
      <c r="A24" s="17">
        <f>+B6</f>
        <v>2200</v>
      </c>
      <c r="B24" s="24"/>
      <c r="G24" s="195" t="s">
        <v>31</v>
      </c>
      <c r="H24" s="196"/>
      <c r="I24" s="196"/>
      <c r="J24" s="196"/>
      <c r="K24" s="196"/>
      <c r="L24" s="196"/>
      <c r="M24" s="197"/>
      <c r="N24" s="430">
        <f>+AF23</f>
        <v>16800</v>
      </c>
      <c r="O24" s="946" t="s">
        <v>298</v>
      </c>
      <c r="P24" s="947"/>
      <c r="Q24" s="947"/>
      <c r="R24" s="947"/>
      <c r="S24" s="947"/>
      <c r="T24" s="947"/>
      <c r="U24" s="948"/>
      <c r="AA24" s="157">
        <v>8</v>
      </c>
      <c r="AB24" s="237">
        <v>0</v>
      </c>
      <c r="AC24" s="240"/>
      <c r="AD24" s="240"/>
      <c r="AE24" s="152"/>
      <c r="AF24" s="158"/>
      <c r="AG24" s="108"/>
      <c r="AH24" s="108"/>
      <c r="AI24" s="147"/>
      <c r="AJ24" s="108"/>
      <c r="AK24" s="108"/>
      <c r="AL24" s="108"/>
      <c r="AM24" s="108"/>
      <c r="AN24" s="79">
        <v>4</v>
      </c>
      <c r="AO24" s="403">
        <f>U16+U17+U18+U19</f>
        <v>4591</v>
      </c>
      <c r="AP24" s="108"/>
      <c r="AQ24" s="108"/>
      <c r="AR24" s="108"/>
      <c r="AS24" s="108"/>
      <c r="AT24" s="150" t="s">
        <v>228</v>
      </c>
      <c r="AU24" s="150"/>
      <c r="AV24" s="150"/>
      <c r="AW24" s="167">
        <f>IF(AX21&gt;1000000,+AZ26-BA26,IF(AX21&lt;1000000,+AX21-AW22-AW23,0))</f>
        <v>0</v>
      </c>
      <c r="AX24" s="168">
        <f>ROUND(+AW24*30%,0)</f>
        <v>0</v>
      </c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37"/>
    </row>
    <row r="25" spans="1:61" ht="16.5" thickBot="1">
      <c r="A25" s="17">
        <f>+A23+A24</f>
        <v>17200</v>
      </c>
      <c r="B25" s="24"/>
      <c r="G25" s="27" t="s">
        <v>103</v>
      </c>
      <c r="H25" s="7"/>
      <c r="I25" s="7"/>
      <c r="J25" s="7"/>
      <c r="K25" s="7"/>
      <c r="L25" s="7"/>
      <c r="M25" s="190"/>
      <c r="N25" s="191">
        <v>0</v>
      </c>
      <c r="O25" s="436"/>
      <c r="P25" s="438" t="s">
        <v>241</v>
      </c>
      <c r="Q25" s="438"/>
      <c r="R25" s="438"/>
      <c r="S25" s="438">
        <v>0</v>
      </c>
      <c r="T25" s="28"/>
      <c r="U25" s="29"/>
      <c r="AA25" s="157">
        <v>9</v>
      </c>
      <c r="AB25" s="237">
        <v>0</v>
      </c>
      <c r="AC25" s="240"/>
      <c r="AD25" s="240"/>
      <c r="AE25" s="152"/>
      <c r="AF25" s="158"/>
      <c r="AG25" s="108"/>
      <c r="AH25" s="108"/>
      <c r="AI25" s="147"/>
      <c r="AJ25" s="108"/>
      <c r="AK25" s="108"/>
      <c r="AL25" s="108"/>
      <c r="AM25" s="108"/>
      <c r="AN25" s="79">
        <v>5</v>
      </c>
      <c r="AO25" s="403">
        <f>U15+U16+U17+U18+U19</f>
        <v>4591</v>
      </c>
      <c r="AP25" s="108"/>
      <c r="AQ25" s="108"/>
      <c r="AR25" s="108"/>
      <c r="AS25" s="108"/>
      <c r="AT25" s="108"/>
      <c r="AU25" s="108"/>
      <c r="AV25" s="108"/>
      <c r="AW25" s="143">
        <f>SUM(AW22:AW24)</f>
        <v>189140</v>
      </c>
      <c r="AX25" s="143">
        <f>SUM(AX22:AX24)</f>
        <v>18914</v>
      </c>
      <c r="AY25" s="108"/>
      <c r="AZ25" s="187">
        <f>+AX21</f>
        <v>189140</v>
      </c>
      <c r="BA25" s="143">
        <f>+AW22</f>
        <v>189140</v>
      </c>
      <c r="BB25" s="143">
        <f>+AZ25-BA25</f>
        <v>0</v>
      </c>
      <c r="BC25" s="108"/>
      <c r="BD25" s="108"/>
      <c r="BE25" s="108"/>
      <c r="BF25" s="108"/>
      <c r="BG25" s="108"/>
      <c r="BH25" s="108"/>
      <c r="BI25" s="137"/>
    </row>
    <row r="26" spans="1:65" ht="16.5" thickBot="1">
      <c r="A26" s="77">
        <f>+A25*3/100</f>
        <v>516</v>
      </c>
      <c r="B26" s="24"/>
      <c r="E26" s="18"/>
      <c r="F26" s="31"/>
      <c r="G26" s="404" t="s">
        <v>296</v>
      </c>
      <c r="H26" s="7"/>
      <c r="I26" s="7"/>
      <c r="J26" s="7"/>
      <c r="K26" s="7"/>
      <c r="L26" s="7"/>
      <c r="M26" s="190"/>
      <c r="N26" s="191">
        <f>+AF12</f>
        <v>1376</v>
      </c>
      <c r="O26" s="436"/>
      <c r="P26" s="438" t="s">
        <v>242</v>
      </c>
      <c r="Q26" s="438"/>
      <c r="R26" s="438"/>
      <c r="S26" s="439">
        <v>0</v>
      </c>
      <c r="T26" s="28"/>
      <c r="U26" s="29"/>
      <c r="AA26" s="157">
        <v>10</v>
      </c>
      <c r="AB26" s="237">
        <v>0</v>
      </c>
      <c r="AC26" s="240"/>
      <c r="AD26" s="240"/>
      <c r="AE26" s="152"/>
      <c r="AF26" s="158"/>
      <c r="AG26" s="108"/>
      <c r="AH26" s="108"/>
      <c r="AI26" s="147"/>
      <c r="AJ26" s="108"/>
      <c r="AK26" s="108"/>
      <c r="AL26" s="108"/>
      <c r="AM26" s="108"/>
      <c r="AN26" s="108"/>
      <c r="AO26" s="108"/>
      <c r="AP26" s="108"/>
      <c r="AQ26" s="108"/>
      <c r="AR26" s="441">
        <v>0</v>
      </c>
      <c r="AS26" s="442">
        <v>0</v>
      </c>
      <c r="AT26" s="108"/>
      <c r="AU26" s="441">
        <v>0</v>
      </c>
      <c r="AV26" s="442">
        <v>0</v>
      </c>
      <c r="AW26" s="108"/>
      <c r="AX26" s="441">
        <v>0</v>
      </c>
      <c r="AY26" s="442">
        <v>0</v>
      </c>
      <c r="AZ26" s="187">
        <f>+BB25</f>
        <v>0</v>
      </c>
      <c r="BA26" s="143">
        <f>+AW23</f>
        <v>0</v>
      </c>
      <c r="BB26" s="143">
        <f>+AZ26-BA26</f>
        <v>0</v>
      </c>
      <c r="BC26" s="108"/>
      <c r="BD26" s="441">
        <v>0</v>
      </c>
      <c r="BE26" s="442">
        <v>0</v>
      </c>
      <c r="BF26" s="108"/>
      <c r="BG26" s="108"/>
      <c r="BH26" s="108"/>
      <c r="BI26" s="137"/>
      <c r="BL26" s="604"/>
      <c r="BM26" s="605"/>
    </row>
    <row r="27" spans="1:65" ht="15.75">
      <c r="A27" s="77">
        <f>ROUNDDOWN(A26,0.1)</f>
        <v>516</v>
      </c>
      <c r="B27" s="24"/>
      <c r="G27" s="27" t="s">
        <v>32</v>
      </c>
      <c r="H27" s="7"/>
      <c r="I27" s="7"/>
      <c r="J27" s="7"/>
      <c r="K27" s="7"/>
      <c r="L27" s="7"/>
      <c r="M27" s="190"/>
      <c r="N27" s="191">
        <v>0</v>
      </c>
      <c r="O27" s="436"/>
      <c r="P27" s="438" t="s">
        <v>3</v>
      </c>
      <c r="Q27" s="438"/>
      <c r="R27" s="438"/>
      <c r="S27" s="515">
        <f>+S25+S26</f>
        <v>0</v>
      </c>
      <c r="T27" s="28"/>
      <c r="U27" s="29"/>
      <c r="AA27" s="157">
        <v>11</v>
      </c>
      <c r="AB27" s="237">
        <v>0</v>
      </c>
      <c r="AC27" s="240"/>
      <c r="AD27" s="240"/>
      <c r="AE27" s="152"/>
      <c r="AF27" s="158"/>
      <c r="AG27" s="108"/>
      <c r="AH27" s="108"/>
      <c r="AI27" s="147"/>
      <c r="AJ27" s="108"/>
      <c r="AK27" s="108"/>
      <c r="AL27" s="108"/>
      <c r="AM27" s="388" t="s">
        <v>234</v>
      </c>
      <c r="AN27" s="108"/>
      <c r="AO27" s="108"/>
      <c r="AP27" s="108"/>
      <c r="AQ27" s="108"/>
      <c r="AR27" s="443">
        <v>1</v>
      </c>
      <c r="AS27" s="444">
        <f>+S29</f>
        <v>0</v>
      </c>
      <c r="AT27" s="108"/>
      <c r="AU27" s="443">
        <v>15001</v>
      </c>
      <c r="AV27" s="444">
        <v>15000</v>
      </c>
      <c r="AW27" s="108"/>
      <c r="AX27" s="443">
        <v>1</v>
      </c>
      <c r="AY27" s="444">
        <v>300000</v>
      </c>
      <c r="AZ27" s="188"/>
      <c r="BA27" s="108"/>
      <c r="BB27" s="108"/>
      <c r="BC27" s="108"/>
      <c r="BD27" s="443">
        <v>250000</v>
      </c>
      <c r="BE27" s="444">
        <f>+H37</f>
        <v>100000</v>
      </c>
      <c r="BF27" s="108"/>
      <c r="BG27" s="108"/>
      <c r="BH27" s="108"/>
      <c r="BI27" s="137"/>
      <c r="BL27" s="606">
        <v>3</v>
      </c>
      <c r="BM27" s="89">
        <v>180</v>
      </c>
    </row>
    <row r="28" spans="1:65" ht="16.5" thickBot="1">
      <c r="A28" s="97">
        <f>CEILING(A27,10)</f>
        <v>520</v>
      </c>
      <c r="B28" s="30"/>
      <c r="E28" s="32"/>
      <c r="G28" s="27" t="s">
        <v>272</v>
      </c>
      <c r="H28" s="7"/>
      <c r="I28" s="7"/>
      <c r="J28" s="7"/>
      <c r="K28" s="7"/>
      <c r="L28" s="7"/>
      <c r="M28" s="190"/>
      <c r="N28" s="191">
        <v>0</v>
      </c>
      <c r="O28" s="436"/>
      <c r="P28" s="438" t="s">
        <v>243</v>
      </c>
      <c r="Q28" s="438"/>
      <c r="R28" s="438"/>
      <c r="S28" s="514">
        <f>+AY29</f>
        <v>0</v>
      </c>
      <c r="T28" s="28"/>
      <c r="U28" s="29"/>
      <c r="AA28" s="157">
        <v>12</v>
      </c>
      <c r="AB28" s="237">
        <v>0</v>
      </c>
      <c r="AC28" s="240"/>
      <c r="AD28" s="240"/>
      <c r="AE28" s="162"/>
      <c r="AF28" s="169"/>
      <c r="AG28" s="108"/>
      <c r="AH28" s="108"/>
      <c r="AI28" s="147"/>
      <c r="AJ28" s="108"/>
      <c r="AK28" s="108"/>
      <c r="AL28" s="390" t="str">
        <f>B11</f>
        <v>N</v>
      </c>
      <c r="AM28" s="389" t="s">
        <v>237</v>
      </c>
      <c r="AN28" s="390">
        <v>0</v>
      </c>
      <c r="AO28" s="390">
        <f>VLOOKUP(+AL28,AM28:AN29,2)</f>
        <v>0</v>
      </c>
      <c r="AP28" s="108"/>
      <c r="AQ28" s="108"/>
      <c r="AR28" s="445"/>
      <c r="AS28" s="448"/>
      <c r="AT28" s="108"/>
      <c r="AU28" s="445"/>
      <c r="AV28" s="448"/>
      <c r="AW28" s="108"/>
      <c r="AX28" s="445"/>
      <c r="AY28" s="448"/>
      <c r="AZ28" s="188"/>
      <c r="BA28" s="108"/>
      <c r="BB28" s="108"/>
      <c r="BC28" s="108"/>
      <c r="BD28" s="443">
        <v>250001</v>
      </c>
      <c r="BE28" s="444">
        <v>250000</v>
      </c>
      <c r="BF28" s="108"/>
      <c r="BG28" s="108"/>
      <c r="BH28" s="108"/>
      <c r="BI28" s="137"/>
      <c r="BL28" s="606">
        <f>+BL27+1</f>
        <v>4</v>
      </c>
      <c r="BM28" s="89">
        <v>180</v>
      </c>
    </row>
    <row r="29" spans="1:65" ht="16.5" thickBot="1">
      <c r="A29" s="98">
        <f>+A23+A28</f>
        <v>15520</v>
      </c>
      <c r="E29" s="33"/>
      <c r="G29" s="521" t="s">
        <v>3</v>
      </c>
      <c r="H29" s="522">
        <f>+H23</f>
        <v>181040</v>
      </c>
      <c r="I29" s="522">
        <f>+I23</f>
        <v>26400</v>
      </c>
      <c r="J29" s="522">
        <f>+J23</f>
        <v>286278</v>
      </c>
      <c r="K29" s="522">
        <f>+K23</f>
        <v>24400</v>
      </c>
      <c r="L29" s="522">
        <f>+L23</f>
        <v>7200</v>
      </c>
      <c r="M29" s="523"/>
      <c r="N29" s="524">
        <f>SUM(N23:N28)</f>
        <v>543494</v>
      </c>
      <c r="O29" s="437"/>
      <c r="P29" s="440" t="s">
        <v>49</v>
      </c>
      <c r="Q29" s="440"/>
      <c r="R29" s="440"/>
      <c r="S29" s="516">
        <f>+S27-S28</f>
        <v>0</v>
      </c>
      <c r="T29" s="520">
        <f>IF(S27&gt;300000,S29,IF(S27&lt;300000,0,0))</f>
        <v>0</v>
      </c>
      <c r="U29" s="517"/>
      <c r="AA29" s="147"/>
      <c r="AB29" s="108"/>
      <c r="AC29" s="108"/>
      <c r="AD29" s="108"/>
      <c r="AE29" s="108"/>
      <c r="AF29" s="170"/>
      <c r="AG29" s="171"/>
      <c r="AH29" s="108"/>
      <c r="AI29" s="147"/>
      <c r="AJ29" s="108"/>
      <c r="AK29" s="108"/>
      <c r="AL29" s="390"/>
      <c r="AM29" s="390" t="s">
        <v>236</v>
      </c>
      <c r="AN29" s="617">
        <f>+B14</f>
        <v>24400</v>
      </c>
      <c r="AO29" s="390"/>
      <c r="AP29" s="108"/>
      <c r="AQ29" s="108"/>
      <c r="AR29" s="446"/>
      <c r="AS29" s="447">
        <f>VLOOKUP(+S29,AR26:AS28,2)</f>
        <v>0</v>
      </c>
      <c r="AT29" s="108"/>
      <c r="AU29" s="446"/>
      <c r="AV29" s="447">
        <f>VLOOKUP(H39,AU26:AV28,2)</f>
        <v>0</v>
      </c>
      <c r="AW29" s="108"/>
      <c r="AX29" s="446"/>
      <c r="AY29" s="447">
        <f>VLOOKUP(S27,AX26:AY28,2)</f>
        <v>0</v>
      </c>
      <c r="AZ29" s="188"/>
      <c r="BA29" s="108"/>
      <c r="BB29" s="108"/>
      <c r="BC29" s="108"/>
      <c r="BD29" s="446"/>
      <c r="BE29" s="447">
        <f>VLOOKUP(H37,BD26:BE28,2)</f>
        <v>0</v>
      </c>
      <c r="BF29" s="108"/>
      <c r="BG29" s="108"/>
      <c r="BH29" s="108"/>
      <c r="BI29" s="137"/>
      <c r="BL29" s="606">
        <f aca="true" t="shared" si="18" ref="BL29:BL36">+BL28+1</f>
        <v>5</v>
      </c>
      <c r="BM29" s="89">
        <v>180</v>
      </c>
    </row>
    <row r="30" spans="7:65" ht="14.25" customHeight="1" thickBot="1">
      <c r="G30" s="431"/>
      <c r="H30" s="1030" t="s">
        <v>284</v>
      </c>
      <c r="I30" s="976"/>
      <c r="J30" s="976"/>
      <c r="K30" s="976"/>
      <c r="L30" s="976"/>
      <c r="M30" s="1031"/>
      <c r="N30" s="610">
        <f>+AO32</f>
        <v>0</v>
      </c>
      <c r="O30" s="432"/>
      <c r="P30" s="433">
        <v>8</v>
      </c>
      <c r="Q30" s="970" t="s">
        <v>33</v>
      </c>
      <c r="R30" s="971"/>
      <c r="S30" s="971"/>
      <c r="T30" s="1036"/>
      <c r="U30" s="434"/>
      <c r="AG30" s="1"/>
      <c r="AH30" s="38"/>
      <c r="AI30" s="1"/>
      <c r="AJ30" s="1"/>
      <c r="BL30" s="606">
        <f t="shared" si="18"/>
        <v>6</v>
      </c>
      <c r="BM30" s="89">
        <v>180</v>
      </c>
    </row>
    <row r="31" spans="7:65" ht="15.75">
      <c r="G31" s="181">
        <v>1</v>
      </c>
      <c r="H31" s="982" t="s">
        <v>34</v>
      </c>
      <c r="I31" s="950"/>
      <c r="J31" s="950"/>
      <c r="K31" s="950"/>
      <c r="L31" s="950"/>
      <c r="M31" s="950"/>
      <c r="N31" s="393">
        <f>ROUND(+N29,0)+T29-N30</f>
        <v>543494</v>
      </c>
      <c r="O31" s="179"/>
      <c r="P31" s="184">
        <v>1</v>
      </c>
      <c r="Q31" s="985" t="s">
        <v>74</v>
      </c>
      <c r="R31" s="986"/>
      <c r="S31" s="987"/>
      <c r="T31" s="177" t="s">
        <v>37</v>
      </c>
      <c r="U31" s="406">
        <f>+O23</f>
        <v>0</v>
      </c>
      <c r="AG31" s="3"/>
      <c r="AH31" s="23"/>
      <c r="AI31" s="1"/>
      <c r="AJ31" s="1"/>
      <c r="AL31" s="108"/>
      <c r="AM31" s="388" t="s">
        <v>285</v>
      </c>
      <c r="AN31" s="108"/>
      <c r="AO31" s="108"/>
      <c r="AP31" s="108"/>
      <c r="BL31" s="606">
        <f t="shared" si="18"/>
        <v>7</v>
      </c>
      <c r="BM31" s="89">
        <v>180</v>
      </c>
    </row>
    <row r="32" spans="1:65" ht="16.5" thickBot="1">
      <c r="A32" s="32"/>
      <c r="G32" s="181">
        <v>2</v>
      </c>
      <c r="H32" s="964" t="s">
        <v>35</v>
      </c>
      <c r="I32" s="965"/>
      <c r="J32" s="965"/>
      <c r="K32" s="965"/>
      <c r="L32" s="966"/>
      <c r="M32" s="176" t="s">
        <v>36</v>
      </c>
      <c r="N32" s="599">
        <f>AO28</f>
        <v>0</v>
      </c>
      <c r="O32" s="179"/>
      <c r="P32" s="184">
        <v>2</v>
      </c>
      <c r="Q32" s="988" t="s">
        <v>274</v>
      </c>
      <c r="R32" s="989"/>
      <c r="S32" s="990"/>
      <c r="T32" s="597" t="s">
        <v>37</v>
      </c>
      <c r="U32" s="598">
        <v>0</v>
      </c>
      <c r="AG32" s="1"/>
      <c r="AH32" s="1"/>
      <c r="AI32" s="1"/>
      <c r="AJ32" s="1"/>
      <c r="AL32" s="390" t="str">
        <f>+B21</f>
        <v>N</v>
      </c>
      <c r="AM32" s="389" t="s">
        <v>237</v>
      </c>
      <c r="AN32" s="390">
        <v>0</v>
      </c>
      <c r="AO32" s="390">
        <f>VLOOKUP(+AL32,AM32:AN33,2)</f>
        <v>0</v>
      </c>
      <c r="AP32" s="108"/>
      <c r="BL32" s="606">
        <f t="shared" si="18"/>
        <v>8</v>
      </c>
      <c r="BM32" s="89">
        <v>180</v>
      </c>
    </row>
    <row r="33" spans="7:65" ht="15.75">
      <c r="G33" s="181"/>
      <c r="H33" s="980"/>
      <c r="I33" s="981"/>
      <c r="J33" s="981"/>
      <c r="K33" s="981"/>
      <c r="L33" s="981"/>
      <c r="M33" s="981"/>
      <c r="N33" s="393">
        <f>+N31-N32</f>
        <v>543494</v>
      </c>
      <c r="O33" s="179"/>
      <c r="P33" s="184">
        <v>3</v>
      </c>
      <c r="Q33" s="985" t="s">
        <v>75</v>
      </c>
      <c r="R33" s="986"/>
      <c r="S33" s="987"/>
      <c r="T33" s="177" t="s">
        <v>37</v>
      </c>
      <c r="U33" s="406">
        <f>+P23</f>
        <v>0</v>
      </c>
      <c r="AL33" s="390"/>
      <c r="AM33" s="390" t="s">
        <v>236</v>
      </c>
      <c r="AN33" s="390">
        <f>ROUND(+AR35/30,0)</f>
        <v>1457</v>
      </c>
      <c r="AO33" s="390"/>
      <c r="AP33" s="108"/>
      <c r="BL33" s="606">
        <f t="shared" si="18"/>
        <v>9</v>
      </c>
      <c r="BM33" s="89">
        <v>180</v>
      </c>
    </row>
    <row r="34" spans="7:65" ht="16.5" thickBot="1">
      <c r="G34" s="181">
        <v>3</v>
      </c>
      <c r="H34" s="982" t="s">
        <v>273</v>
      </c>
      <c r="I34" s="950"/>
      <c r="J34" s="950"/>
      <c r="K34" s="950"/>
      <c r="L34" s="951"/>
      <c r="M34" s="176" t="s">
        <v>36</v>
      </c>
      <c r="N34" s="599">
        <f>T23+BM39</f>
        <v>4350</v>
      </c>
      <c r="O34" s="179"/>
      <c r="P34" s="184">
        <v>4</v>
      </c>
      <c r="Q34" s="957" t="s">
        <v>76</v>
      </c>
      <c r="R34" s="958"/>
      <c r="S34" s="959"/>
      <c r="T34" s="177" t="s">
        <v>37</v>
      </c>
      <c r="U34" s="407">
        <v>0</v>
      </c>
      <c r="BL34" s="606">
        <f t="shared" si="18"/>
        <v>10</v>
      </c>
      <c r="BM34" s="89">
        <v>180</v>
      </c>
    </row>
    <row r="35" spans="7:65" ht="15.75">
      <c r="G35" s="181"/>
      <c r="H35" s="980"/>
      <c r="I35" s="981"/>
      <c r="J35" s="981"/>
      <c r="K35" s="981"/>
      <c r="L35" s="981"/>
      <c r="M35" s="981"/>
      <c r="N35" s="393">
        <f>+N33-N34</f>
        <v>539144</v>
      </c>
      <c r="O35" s="179"/>
      <c r="P35" s="184">
        <v>5</v>
      </c>
      <c r="Q35" s="985" t="s">
        <v>77</v>
      </c>
      <c r="R35" s="986"/>
      <c r="S35" s="987"/>
      <c r="T35" s="177" t="s">
        <v>37</v>
      </c>
      <c r="U35" s="406">
        <f>+Q23</f>
        <v>0</v>
      </c>
      <c r="AK35" s="611">
        <v>1.25</v>
      </c>
      <c r="AL35" s="58">
        <f>+H14</f>
        <v>15000</v>
      </c>
      <c r="AM35" s="58">
        <f>+I14</f>
        <v>2200</v>
      </c>
      <c r="AN35" s="58">
        <f>+AU35</f>
        <v>215</v>
      </c>
      <c r="AO35" s="58">
        <f>+K14</f>
        <v>2000</v>
      </c>
      <c r="AP35" s="58">
        <f>+L14</f>
        <v>600</v>
      </c>
      <c r="AQ35" s="58">
        <f>+M14</f>
        <v>0</v>
      </c>
      <c r="AR35" s="58">
        <f>+N14</f>
        <v>43708</v>
      </c>
      <c r="AS35" s="58"/>
      <c r="AT35" s="58">
        <f>+AL35+AM35</f>
        <v>17200</v>
      </c>
      <c r="AU35" s="58">
        <f>ROUND(+AT35*+AK35/100,0)</f>
        <v>215</v>
      </c>
      <c r="BL35" s="606">
        <f t="shared" si="18"/>
        <v>11</v>
      </c>
      <c r="BM35" s="89">
        <v>180</v>
      </c>
    </row>
    <row r="36" spans="7:65" ht="16.5" thickBot="1">
      <c r="G36" s="181">
        <v>4</v>
      </c>
      <c r="H36" s="964" t="s">
        <v>38</v>
      </c>
      <c r="I36" s="965"/>
      <c r="J36" s="965"/>
      <c r="K36" s="965"/>
      <c r="L36" s="966"/>
      <c r="M36" s="176" t="s">
        <v>36</v>
      </c>
      <c r="N36" s="600">
        <f>IF(H37&gt;200000,200000,IF(H37&lt;200000,H37,0))</f>
        <v>100000</v>
      </c>
      <c r="O36" s="179"/>
      <c r="P36" s="184">
        <v>8</v>
      </c>
      <c r="Q36" s="378" t="s">
        <v>78</v>
      </c>
      <c r="R36" s="376"/>
      <c r="S36" s="377"/>
      <c r="T36" s="177" t="s">
        <v>37</v>
      </c>
      <c r="U36" s="407">
        <f>+R23</f>
        <v>0</v>
      </c>
      <c r="W36" s="194" t="s">
        <v>282</v>
      </c>
      <c r="BL36" s="606">
        <f t="shared" si="18"/>
        <v>12</v>
      </c>
      <c r="BM36" s="89">
        <v>180</v>
      </c>
    </row>
    <row r="37" spans="7:65" ht="15.75">
      <c r="G37" s="181"/>
      <c r="H37" s="952">
        <v>100000</v>
      </c>
      <c r="I37" s="953"/>
      <c r="J37" s="513"/>
      <c r="K37" s="513"/>
      <c r="L37" s="513"/>
      <c r="M37" s="513"/>
      <c r="N37" s="393">
        <f>+N35-N36</f>
        <v>439144</v>
      </c>
      <c r="O37" s="179"/>
      <c r="P37" s="184">
        <v>7</v>
      </c>
      <c r="Q37" s="957" t="s">
        <v>79</v>
      </c>
      <c r="R37" s="958"/>
      <c r="S37" s="959"/>
      <c r="T37" s="177" t="s">
        <v>37</v>
      </c>
      <c r="U37" s="407">
        <v>0</v>
      </c>
      <c r="W37" s="194" t="s">
        <v>281</v>
      </c>
      <c r="BL37" s="606">
        <v>1</v>
      </c>
      <c r="BM37" s="89">
        <v>180</v>
      </c>
    </row>
    <row r="38" spans="7:65" ht="16.5" thickBot="1">
      <c r="G38" s="181">
        <v>5</v>
      </c>
      <c r="H38" s="964" t="s">
        <v>39</v>
      </c>
      <c r="I38" s="965"/>
      <c r="J38" s="965"/>
      <c r="K38" s="965"/>
      <c r="L38" s="966"/>
      <c r="M38" s="176" t="s">
        <v>36</v>
      </c>
      <c r="N38" s="600">
        <f>IF(H39&gt;25000,25000,IF(H39&lt;25000,H39,0))</f>
        <v>0</v>
      </c>
      <c r="O38" s="179"/>
      <c r="P38" s="184">
        <v>8</v>
      </c>
      <c r="Q38" s="957" t="s">
        <v>80</v>
      </c>
      <c r="R38" s="958"/>
      <c r="S38" s="959"/>
      <c r="T38" s="177" t="s">
        <v>37</v>
      </c>
      <c r="U38" s="407">
        <v>0</v>
      </c>
      <c r="W38" s="194" t="s">
        <v>278</v>
      </c>
      <c r="X38" s="194"/>
      <c r="Y38" s="194"/>
      <c r="BL38" s="606">
        <f>+BL37+1</f>
        <v>2</v>
      </c>
      <c r="BM38" s="89">
        <v>180</v>
      </c>
    </row>
    <row r="39" spans="7:65" ht="16.5" thickBot="1">
      <c r="G39" s="181"/>
      <c r="H39" s="952">
        <v>0</v>
      </c>
      <c r="I39" s="953"/>
      <c r="J39" s="513"/>
      <c r="K39" s="513"/>
      <c r="L39" s="513"/>
      <c r="M39" s="513"/>
      <c r="N39" s="393">
        <f>+N37-N38</f>
        <v>439144</v>
      </c>
      <c r="O39" s="179"/>
      <c r="P39" s="184">
        <v>9</v>
      </c>
      <c r="Q39" s="954" t="s">
        <v>81</v>
      </c>
      <c r="R39" s="955"/>
      <c r="S39" s="956"/>
      <c r="T39" s="177" t="s">
        <v>37</v>
      </c>
      <c r="U39" s="408">
        <f>+S23</f>
        <v>0</v>
      </c>
      <c r="W39" s="194" t="s">
        <v>277</v>
      </c>
      <c r="X39" s="194"/>
      <c r="Y39" s="194"/>
      <c r="BL39" s="607"/>
      <c r="BM39" s="608">
        <f>SUM(BM27:BM38)</f>
        <v>2160</v>
      </c>
    </row>
    <row r="40" spans="7:23" ht="15">
      <c r="G40" s="181"/>
      <c r="H40" s="980"/>
      <c r="I40" s="981"/>
      <c r="J40" s="981"/>
      <c r="K40" s="981"/>
      <c r="L40" s="981"/>
      <c r="M40" s="981"/>
      <c r="N40" s="391"/>
      <c r="O40" s="179"/>
      <c r="P40" s="20"/>
      <c r="Q40" s="960" t="s">
        <v>3</v>
      </c>
      <c r="R40" s="961"/>
      <c r="S40" s="963"/>
      <c r="T40" s="177" t="s">
        <v>37</v>
      </c>
      <c r="U40" s="409">
        <f>SUM(U31:U39)</f>
        <v>0</v>
      </c>
      <c r="W40" s="194" t="s">
        <v>279</v>
      </c>
    </row>
    <row r="41" spans="7:23" ht="15.75" thickBot="1">
      <c r="G41" s="181">
        <v>6</v>
      </c>
      <c r="H41" s="964" t="s">
        <v>230</v>
      </c>
      <c r="I41" s="965"/>
      <c r="J41" s="965"/>
      <c r="K41" s="965"/>
      <c r="L41" s="966"/>
      <c r="M41" s="176" t="s">
        <v>36</v>
      </c>
      <c r="N41" s="392">
        <v>0</v>
      </c>
      <c r="O41" s="179"/>
      <c r="P41" s="20"/>
      <c r="Q41" s="960"/>
      <c r="R41" s="961"/>
      <c r="S41" s="961"/>
      <c r="T41" s="962"/>
      <c r="U41" s="406"/>
      <c r="V41" s="405"/>
      <c r="W41" s="194" t="s">
        <v>280</v>
      </c>
    </row>
    <row r="42" spans="7:22" ht="15">
      <c r="G42" s="182"/>
      <c r="H42" s="980"/>
      <c r="I42" s="981"/>
      <c r="J42" s="981"/>
      <c r="K42" s="981"/>
      <c r="L42" s="981"/>
      <c r="M42" s="981"/>
      <c r="N42" s="393">
        <f>+N39-N41</f>
        <v>439144</v>
      </c>
      <c r="O42" s="179"/>
      <c r="P42" s="173">
        <v>9</v>
      </c>
      <c r="Q42" s="949" t="s">
        <v>276</v>
      </c>
      <c r="R42" s="950"/>
      <c r="S42" s="951"/>
      <c r="T42" s="174"/>
      <c r="U42" s="410">
        <f>IF(U40&gt;150001,150000,IF(AND(U40&lt;150001),U40))</f>
        <v>0</v>
      </c>
      <c r="V42" s="405"/>
    </row>
    <row r="43" spans="7:23" ht="15.75" thickBot="1">
      <c r="G43" s="182"/>
      <c r="H43" s="980"/>
      <c r="I43" s="981"/>
      <c r="J43" s="981"/>
      <c r="K43" s="981"/>
      <c r="L43" s="981"/>
      <c r="M43" s="981"/>
      <c r="N43" s="391"/>
      <c r="O43" s="179"/>
      <c r="P43" s="173"/>
      <c r="Q43" s="949"/>
      <c r="R43" s="950"/>
      <c r="S43" s="951"/>
      <c r="T43" s="175"/>
      <c r="U43" s="408"/>
      <c r="W43" s="101">
        <f>+U47</f>
        <v>189140</v>
      </c>
    </row>
    <row r="44" spans="7:23" ht="15">
      <c r="G44" s="181">
        <v>7</v>
      </c>
      <c r="H44" s="982" t="s">
        <v>40</v>
      </c>
      <c r="I44" s="950"/>
      <c r="J44" s="950"/>
      <c r="K44" s="950"/>
      <c r="L44" s="950"/>
      <c r="M44" s="950"/>
      <c r="N44" s="391">
        <f>N42</f>
        <v>439144</v>
      </c>
      <c r="O44" s="179"/>
      <c r="P44" s="172"/>
      <c r="Q44" s="960"/>
      <c r="R44" s="961"/>
      <c r="S44" s="961"/>
      <c r="T44" s="962"/>
      <c r="U44" s="396">
        <f>+U42+U43</f>
        <v>0</v>
      </c>
      <c r="W44" s="102">
        <f>+T48</f>
        <v>189140</v>
      </c>
    </row>
    <row r="45" spans="7:23" ht="15">
      <c r="G45" s="182"/>
      <c r="H45" s="982" t="s">
        <v>42</v>
      </c>
      <c r="I45" s="950"/>
      <c r="J45" s="950"/>
      <c r="K45" s="950"/>
      <c r="L45" s="951"/>
      <c r="M45" s="176" t="s">
        <v>36</v>
      </c>
      <c r="N45" s="598">
        <f>+U44</f>
        <v>0</v>
      </c>
      <c r="O45" s="179"/>
      <c r="P45" s="173">
        <v>10</v>
      </c>
      <c r="Q45" s="949" t="str">
        <f>+H48</f>
        <v>TAXABLE INCOME ROUNDED OFF</v>
      </c>
      <c r="R45" s="950"/>
      <c r="S45" s="950"/>
      <c r="T45" s="972"/>
      <c r="U45" s="411">
        <f>+N48</f>
        <v>439140</v>
      </c>
      <c r="W45" s="101">
        <f>+W43-W44</f>
        <v>0</v>
      </c>
    </row>
    <row r="46" spans="7:23" ht="15.75" thickBot="1">
      <c r="G46" s="182"/>
      <c r="H46" s="980"/>
      <c r="I46" s="981"/>
      <c r="J46" s="981"/>
      <c r="K46" s="981"/>
      <c r="L46" s="981"/>
      <c r="M46" s="981"/>
      <c r="N46" s="391"/>
      <c r="O46" s="179"/>
      <c r="P46" s="173">
        <v>11</v>
      </c>
      <c r="Q46" s="949" t="str">
        <f>VLOOKUP(B4,AW6:AX7,2)</f>
        <v>UPTO RS.250000/= (   NIL  )</v>
      </c>
      <c r="R46" s="950"/>
      <c r="S46" s="950"/>
      <c r="T46" s="972"/>
      <c r="U46" s="412">
        <f>VLOOKUP(B4,AP6:AQ7,2,FALSE)</f>
        <v>250000</v>
      </c>
      <c r="W46" s="102">
        <f>+T49</f>
        <v>0</v>
      </c>
    </row>
    <row r="47" spans="7:24" ht="15.75" thickBot="1">
      <c r="G47" s="182"/>
      <c r="H47" s="982" t="s">
        <v>44</v>
      </c>
      <c r="I47" s="950"/>
      <c r="J47" s="950"/>
      <c r="K47" s="950"/>
      <c r="L47" s="950"/>
      <c r="M47" s="950"/>
      <c r="N47" s="391">
        <f>+N44-N45</f>
        <v>439144</v>
      </c>
      <c r="O47" s="179"/>
      <c r="P47" s="20"/>
      <c r="Q47" s="1041"/>
      <c r="R47" s="1042"/>
      <c r="S47" s="1042"/>
      <c r="T47" s="1043"/>
      <c r="U47" s="413">
        <f>+U45-U46</f>
        <v>189140</v>
      </c>
      <c r="W47" s="101">
        <f>+W45-W46</f>
        <v>0</v>
      </c>
      <c r="X47" s="1"/>
    </row>
    <row r="48" spans="7:34" ht="15">
      <c r="G48" s="182"/>
      <c r="H48" s="982" t="s">
        <v>45</v>
      </c>
      <c r="I48" s="950"/>
      <c r="J48" s="950"/>
      <c r="K48" s="950"/>
      <c r="L48" s="950"/>
      <c r="M48" s="950"/>
      <c r="N48" s="598">
        <f>ROUND(+N47,-1)</f>
        <v>439140</v>
      </c>
      <c r="O48" s="179"/>
      <c r="P48" s="177">
        <v>12</v>
      </c>
      <c r="Q48" s="943" t="str">
        <f>VLOOKUP(B4,AW9:AX10,2)</f>
        <v>250001  TO  500000  5%</v>
      </c>
      <c r="R48" s="944"/>
      <c r="S48" s="945"/>
      <c r="T48" s="379">
        <f>VLOOKUP(B4,AW12:AX13,2)</f>
        <v>189140</v>
      </c>
      <c r="U48" s="414">
        <f>ROUND(+T48*5%,0)</f>
        <v>9457</v>
      </c>
      <c r="Z48" s="11"/>
      <c r="AB48" s="11"/>
      <c r="AH48" s="11"/>
    </row>
    <row r="49" spans="7:34" ht="15">
      <c r="G49" s="182"/>
      <c r="H49" s="980"/>
      <c r="I49" s="981"/>
      <c r="J49" s="981"/>
      <c r="K49" s="981"/>
      <c r="L49" s="981"/>
      <c r="M49" s="981"/>
      <c r="N49" s="391"/>
      <c r="O49" s="179"/>
      <c r="P49" s="175"/>
      <c r="Q49" s="967" t="s">
        <v>229</v>
      </c>
      <c r="R49" s="968"/>
      <c r="S49" s="969"/>
      <c r="T49" s="380">
        <f>IF(U47&gt;600000,BH7,IF(U47&lt;600000,BH6,0))</f>
        <v>0</v>
      </c>
      <c r="U49" s="406">
        <f>ROUND(+T49*20%,0)</f>
        <v>0</v>
      </c>
      <c r="Z49" s="33"/>
      <c r="AH49" s="11"/>
    </row>
    <row r="50" spans="7:26" ht="15.75" thickBot="1">
      <c r="G50" s="182"/>
      <c r="H50" s="980"/>
      <c r="I50" s="981"/>
      <c r="J50" s="981"/>
      <c r="K50" s="981"/>
      <c r="L50" s="981"/>
      <c r="M50" s="981"/>
      <c r="N50" s="391"/>
      <c r="O50" s="179"/>
      <c r="P50" s="175"/>
      <c r="Q50" s="1060" t="s">
        <v>290</v>
      </c>
      <c r="R50" s="1061"/>
      <c r="S50" s="1062"/>
      <c r="T50" s="381">
        <f>IF(U47&gt;2000000,2000000,IF(U47&lt;2000000,U47-T48-T49,0))</f>
        <v>0</v>
      </c>
      <c r="U50" s="412">
        <f>ROUND(+T50*30%,0)</f>
        <v>0</v>
      </c>
      <c r="W50" s="49"/>
      <c r="Z50" s="33"/>
    </row>
    <row r="51" spans="7:23" ht="15.75" thickBot="1">
      <c r="G51" s="180"/>
      <c r="H51" s="982" t="s">
        <v>47</v>
      </c>
      <c r="I51" s="950"/>
      <c r="J51" s="950"/>
      <c r="K51" s="950"/>
      <c r="L51" s="950"/>
      <c r="M51" s="950"/>
      <c r="N51" s="391">
        <f>+U56</f>
        <v>4591</v>
      </c>
      <c r="O51" s="178"/>
      <c r="P51" s="174"/>
      <c r="Q51" s="973" t="s">
        <v>3</v>
      </c>
      <c r="R51" s="974"/>
      <c r="S51" s="397">
        <f>+U47</f>
        <v>189140</v>
      </c>
      <c r="T51" s="198">
        <f>SUM(T48:T50)</f>
        <v>189140</v>
      </c>
      <c r="U51" s="415">
        <f>SUM(U48:U50)</f>
        <v>9457</v>
      </c>
      <c r="W51" s="49"/>
    </row>
    <row r="52" spans="7:23" ht="15.75" thickBot="1">
      <c r="G52" s="180"/>
      <c r="H52" s="980"/>
      <c r="I52" s="981"/>
      <c r="J52" s="981"/>
      <c r="K52" s="981"/>
      <c r="L52" s="981"/>
      <c r="M52" s="981"/>
      <c r="N52" s="391"/>
      <c r="O52" s="178"/>
      <c r="P52" s="173">
        <v>13</v>
      </c>
      <c r="Q52" s="975" t="s">
        <v>46</v>
      </c>
      <c r="R52" s="976"/>
      <c r="S52" s="977"/>
      <c r="T52" s="174"/>
      <c r="U52" s="406">
        <f>+U51</f>
        <v>9457</v>
      </c>
      <c r="W52" s="1"/>
    </row>
    <row r="53" spans="1:28" ht="16.5" thickBot="1">
      <c r="A53" s="1055"/>
      <c r="B53" s="1014" t="s">
        <v>57</v>
      </c>
      <c r="C53" s="1016"/>
      <c r="D53" s="1016"/>
      <c r="E53" s="1017"/>
      <c r="G53" s="180"/>
      <c r="H53" s="978" t="s">
        <v>84</v>
      </c>
      <c r="I53" s="979"/>
      <c r="J53" s="979"/>
      <c r="K53" s="979"/>
      <c r="L53" s="979"/>
      <c r="M53" s="979"/>
      <c r="N53" s="395">
        <f>+C60</f>
        <v>0</v>
      </c>
      <c r="O53" s="178"/>
      <c r="P53" s="173">
        <v>14</v>
      </c>
      <c r="Q53" s="949" t="s">
        <v>231</v>
      </c>
      <c r="R53" s="950"/>
      <c r="S53" s="950"/>
      <c r="T53" s="951"/>
      <c r="U53" s="416">
        <f>AB53</f>
        <v>5000</v>
      </c>
      <c r="W53" s="383" t="s">
        <v>232</v>
      </c>
      <c r="X53" s="11">
        <f>N48</f>
        <v>439140</v>
      </c>
      <c r="Y53">
        <v>0</v>
      </c>
      <c r="Z53">
        <v>5000</v>
      </c>
      <c r="AA53" s="384"/>
      <c r="AB53" s="161">
        <f>VLOOKUP(+X53,Y53:Z54,2)</f>
        <v>5000</v>
      </c>
    </row>
    <row r="54" spans="1:26" ht="15.75" thickBot="1">
      <c r="A54" s="1055"/>
      <c r="B54" s="56" t="s">
        <v>58</v>
      </c>
      <c r="C54" s="57" t="s">
        <v>59</v>
      </c>
      <c r="D54" s="1012" t="s">
        <v>60</v>
      </c>
      <c r="E54" s="1013"/>
      <c r="G54" s="180"/>
      <c r="H54" s="980"/>
      <c r="I54" s="981"/>
      <c r="J54" s="981"/>
      <c r="K54" s="981"/>
      <c r="L54" s="981"/>
      <c r="M54" s="981"/>
      <c r="N54" s="396">
        <f>+N51-N53</f>
        <v>4591</v>
      </c>
      <c r="O54" s="178"/>
      <c r="P54" s="177"/>
      <c r="Q54" s="1059" t="s">
        <v>46</v>
      </c>
      <c r="R54" s="1059"/>
      <c r="S54" s="1059"/>
      <c r="T54" s="382"/>
      <c r="U54" s="409">
        <f>U52-U53</f>
        <v>4457</v>
      </c>
      <c r="Y54">
        <v>500000</v>
      </c>
      <c r="Z54">
        <v>0</v>
      </c>
    </row>
    <row r="55" spans="1:27" ht="18.75" thickBot="1">
      <c r="A55" s="1055"/>
      <c r="B55" s="185"/>
      <c r="C55" s="603">
        <v>0</v>
      </c>
      <c r="D55" s="1047"/>
      <c r="E55" s="1048"/>
      <c r="G55" s="180"/>
      <c r="H55" s="982" t="s">
        <v>48</v>
      </c>
      <c r="I55" s="950"/>
      <c r="J55" s="950"/>
      <c r="K55" s="950"/>
      <c r="L55" s="950"/>
      <c r="M55" s="950"/>
      <c r="N55" s="394">
        <f>+U23</f>
        <v>4591</v>
      </c>
      <c r="O55" s="178"/>
      <c r="P55" s="173">
        <v>15</v>
      </c>
      <c r="Q55" s="970" t="s">
        <v>291</v>
      </c>
      <c r="R55" s="971"/>
      <c r="S55" s="971"/>
      <c r="T55" s="972"/>
      <c r="U55" s="412">
        <f>ROUND(+U54*3%,0)</f>
        <v>134</v>
      </c>
      <c r="AA55" s="384"/>
    </row>
    <row r="56" spans="1:21" ht="16.5" thickBot="1">
      <c r="A56" s="1055"/>
      <c r="B56" s="88"/>
      <c r="C56" s="58"/>
      <c r="D56" s="1049"/>
      <c r="E56" s="1019"/>
      <c r="G56" s="180"/>
      <c r="H56" s="999" t="s">
        <v>49</v>
      </c>
      <c r="I56" s="1000"/>
      <c r="J56" s="1000"/>
      <c r="K56" s="1000"/>
      <c r="L56" s="1000"/>
      <c r="M56" s="1000"/>
      <c r="N56" s="518">
        <f>+N54-N55</f>
        <v>0</v>
      </c>
      <c r="O56" s="178"/>
      <c r="P56" s="173">
        <v>16</v>
      </c>
      <c r="Q56" s="949" t="s">
        <v>50</v>
      </c>
      <c r="R56" s="950"/>
      <c r="S56" s="950"/>
      <c r="T56" s="972"/>
      <c r="U56" s="406">
        <f>U54+U55</f>
        <v>4591</v>
      </c>
    </row>
    <row r="57" spans="1:21" ht="26.25" customHeight="1" thickBot="1">
      <c r="A57" s="1055"/>
      <c r="B57" s="88"/>
      <c r="C57" s="58"/>
      <c r="D57" s="1018"/>
      <c r="E57" s="1019"/>
      <c r="G57" s="1052" t="s">
        <v>297</v>
      </c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3"/>
      <c r="T57" s="1053"/>
      <c r="U57" s="1054"/>
    </row>
    <row r="58" spans="1:42" ht="12.75">
      <c r="A58" s="1055"/>
      <c r="B58" s="88"/>
      <c r="C58" s="58"/>
      <c r="D58" s="1018"/>
      <c r="E58" s="1019"/>
      <c r="G58" s="1044" t="s">
        <v>55</v>
      </c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5"/>
      <c r="T58" s="1045"/>
      <c r="U58" s="1046"/>
      <c r="AK58" s="2"/>
      <c r="AL58" s="47"/>
      <c r="AM58" s="1"/>
      <c r="AN58" s="1"/>
      <c r="AO58" s="1"/>
      <c r="AP58" s="1"/>
    </row>
    <row r="59" spans="1:42" ht="13.5" thickBot="1">
      <c r="A59" s="1055"/>
      <c r="B59" s="186"/>
      <c r="C59" s="60"/>
      <c r="D59" s="1050"/>
      <c r="E59" s="1051"/>
      <c r="G59" s="1044" t="s">
        <v>56</v>
      </c>
      <c r="H59" s="1045"/>
      <c r="I59" s="1045"/>
      <c r="J59" s="1045"/>
      <c r="K59" s="1045"/>
      <c r="L59" s="1045"/>
      <c r="M59" s="1045"/>
      <c r="N59" s="1045"/>
      <c r="O59" s="1045"/>
      <c r="P59" s="1045"/>
      <c r="Q59" s="1045"/>
      <c r="R59" s="1045"/>
      <c r="S59" s="1045"/>
      <c r="T59" s="1045"/>
      <c r="U59" s="1046"/>
      <c r="AK59" s="2"/>
      <c r="AL59" s="47"/>
      <c r="AM59" s="1"/>
      <c r="AN59" s="1"/>
      <c r="AO59" s="1"/>
      <c r="AP59" s="1"/>
    </row>
    <row r="60" spans="1:42" ht="16.5" thickBot="1">
      <c r="A60" s="1055"/>
      <c r="B60" s="62" t="s">
        <v>3</v>
      </c>
      <c r="C60" s="57">
        <f>SUM(C55:C59)</f>
        <v>0</v>
      </c>
      <c r="D60" s="1012"/>
      <c r="E60" s="1013"/>
      <c r="G60" s="51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3" t="s">
        <v>51</v>
      </c>
      <c r="T60" s="52"/>
      <c r="U60" s="54"/>
      <c r="AK60" s="2"/>
      <c r="AL60" s="47"/>
      <c r="AM60" s="1"/>
      <c r="AN60" s="1"/>
      <c r="AO60" s="1"/>
      <c r="AP60" s="1"/>
    </row>
    <row r="61" spans="9:42" ht="12.75">
      <c r="I61" s="6"/>
      <c r="J61" s="6"/>
      <c r="K61" s="6"/>
      <c r="L61" s="6"/>
      <c r="M61" s="6"/>
      <c r="N61" s="6"/>
      <c r="AK61" s="1"/>
      <c r="AL61" s="35"/>
      <c r="AM61" s="35"/>
      <c r="AN61" s="1"/>
      <c r="AO61" s="1"/>
      <c r="AP61" s="1"/>
    </row>
    <row r="62" ht="13.5" thickBot="1">
      <c r="AJ62" s="3"/>
    </row>
    <row r="63" spans="1:36" ht="13.5" thickBot="1">
      <c r="A63" s="1056"/>
      <c r="B63" s="1014" t="s">
        <v>61</v>
      </c>
      <c r="C63" s="1015"/>
      <c r="D63" s="1016"/>
      <c r="E63" s="1017"/>
      <c r="G63" s="235">
        <f>+U56</f>
        <v>4591</v>
      </c>
      <c r="H63" s="193"/>
      <c r="I63" s="194" t="str">
        <f>[2]!NUM2TEXT(+G63)</f>
        <v>Rupees Four  Thousand Five hundred Ninety One Only</v>
      </c>
      <c r="N63" s="48"/>
      <c r="O63" s="1"/>
      <c r="P63" s="1"/>
      <c r="Q63" s="1"/>
      <c r="R63" s="1"/>
      <c r="S63" s="1"/>
      <c r="T63" s="1"/>
      <c r="U63" s="1"/>
      <c r="AJ63" s="3"/>
    </row>
    <row r="64" spans="1:36" ht="13.5" thickBot="1">
      <c r="A64" s="1056"/>
      <c r="B64" s="63" t="s">
        <v>62</v>
      </c>
      <c r="C64" s="64" t="s">
        <v>63</v>
      </c>
      <c r="D64" s="65" t="s">
        <v>49</v>
      </c>
      <c r="E64" s="66" t="s">
        <v>64</v>
      </c>
      <c r="N64" s="48"/>
      <c r="O64" s="1"/>
      <c r="P64" s="1"/>
      <c r="Q64" s="1"/>
      <c r="R64" s="1"/>
      <c r="S64" s="1"/>
      <c r="T64" s="1"/>
      <c r="U64" s="1"/>
      <c r="AJ64" s="3"/>
    </row>
    <row r="65" spans="1:36" ht="18">
      <c r="A65" s="1056"/>
      <c r="B65" s="938">
        <v>400000</v>
      </c>
      <c r="C65" s="939">
        <f>+B65-U56</f>
        <v>395409</v>
      </c>
      <c r="D65" s="67">
        <f>+B65-C65</f>
        <v>4591</v>
      </c>
      <c r="E65" s="68"/>
      <c r="N65" s="1"/>
      <c r="O65" s="1"/>
      <c r="P65" s="1"/>
      <c r="Q65" s="1"/>
      <c r="R65" s="1"/>
      <c r="S65" s="1"/>
      <c r="T65" s="1"/>
      <c r="U65" s="1"/>
      <c r="AJ65" s="3"/>
    </row>
    <row r="66" spans="1:36" ht="12.75">
      <c r="A66" s="1056"/>
      <c r="B66" s="69"/>
      <c r="C66" s="59"/>
      <c r="D66" s="70"/>
      <c r="E66" s="71"/>
      <c r="N66" s="23"/>
      <c r="O66" s="1"/>
      <c r="P66" s="1"/>
      <c r="Q66" s="1"/>
      <c r="R66" s="1"/>
      <c r="S66" s="1"/>
      <c r="T66" s="1"/>
      <c r="U66" s="1"/>
      <c r="AJ66" s="3"/>
    </row>
    <row r="67" spans="1:36" ht="12.75">
      <c r="A67" s="1056"/>
      <c r="B67" s="69"/>
      <c r="C67" s="59"/>
      <c r="D67" s="72"/>
      <c r="E67" s="71"/>
      <c r="G67" s="36"/>
      <c r="H67" s="36"/>
      <c r="I67" s="36"/>
      <c r="J67" s="3"/>
      <c r="K67" s="3"/>
      <c r="L67" s="3"/>
      <c r="M67" s="3"/>
      <c r="N67" s="23"/>
      <c r="O67" s="3"/>
      <c r="P67" s="3"/>
      <c r="Q67" s="3"/>
      <c r="R67" s="1"/>
      <c r="S67" s="1"/>
      <c r="T67" s="1"/>
      <c r="U67" s="1"/>
      <c r="AJ67" s="3"/>
    </row>
    <row r="68" spans="1:36" ht="12.75">
      <c r="A68" s="1056"/>
      <c r="B68" s="69"/>
      <c r="C68" s="59"/>
      <c r="D68" s="72"/>
      <c r="E68" s="71"/>
      <c r="G68" s="3"/>
      <c r="H68" s="3"/>
      <c r="I68" s="3"/>
      <c r="J68" s="3"/>
      <c r="K68" s="3"/>
      <c r="L68" s="1"/>
      <c r="M68" s="1"/>
      <c r="N68" s="23"/>
      <c r="O68" s="37"/>
      <c r="P68" s="3"/>
      <c r="Q68" s="3"/>
      <c r="R68" s="1"/>
      <c r="S68" s="1"/>
      <c r="T68" s="1"/>
      <c r="U68" s="1"/>
      <c r="AJ68" s="3"/>
    </row>
    <row r="69" spans="1:36" ht="13.5" thickBot="1">
      <c r="A69" s="1056"/>
      <c r="B69" s="73"/>
      <c r="C69" s="61"/>
      <c r="D69" s="74"/>
      <c r="E69" s="75"/>
      <c r="G69" s="3"/>
      <c r="H69" s="3"/>
      <c r="I69" s="3"/>
      <c r="J69" s="3"/>
      <c r="K69" s="3"/>
      <c r="L69" s="1"/>
      <c r="M69" s="1"/>
      <c r="N69" s="3"/>
      <c r="O69" s="37"/>
      <c r="P69" s="3"/>
      <c r="Q69" s="3"/>
      <c r="R69" s="38"/>
      <c r="S69" s="38"/>
      <c r="T69" s="38"/>
      <c r="U69" s="1"/>
      <c r="AJ69" s="3"/>
    </row>
    <row r="70" spans="1:36" ht="13.5" thickBot="1">
      <c r="A70" s="1056"/>
      <c r="B70" s="63">
        <f>SUM(B65:B69)</f>
        <v>400000</v>
      </c>
      <c r="C70" s="63">
        <f>SUM(C65:C69)</f>
        <v>395409</v>
      </c>
      <c r="D70" s="63">
        <f>SUM(D65:D69)</f>
        <v>4591</v>
      </c>
      <c r="E70" s="76"/>
      <c r="G70" s="5"/>
      <c r="H70" s="5"/>
      <c r="I70" s="5"/>
      <c r="J70" s="5"/>
      <c r="K70" s="5"/>
      <c r="L70" s="5"/>
      <c r="M70" s="1"/>
      <c r="N70" s="3"/>
      <c r="O70" s="37"/>
      <c r="P70" s="3"/>
      <c r="Q70" s="3"/>
      <c r="R70" s="1"/>
      <c r="S70" s="1"/>
      <c r="T70" s="1"/>
      <c r="U70" s="1"/>
      <c r="AJ70" s="3"/>
    </row>
    <row r="71" spans="7:36" ht="12.75">
      <c r="G71" s="3"/>
      <c r="H71" s="3"/>
      <c r="I71" s="3"/>
      <c r="J71" s="3"/>
      <c r="K71" s="3"/>
      <c r="L71" s="3"/>
      <c r="M71" s="1"/>
      <c r="N71" s="1"/>
      <c r="O71" s="37"/>
      <c r="P71" s="3"/>
      <c r="Q71" s="3"/>
      <c r="R71" s="38"/>
      <c r="S71" s="23"/>
      <c r="T71" s="38"/>
      <c r="U71" s="1"/>
      <c r="AJ71" s="1"/>
    </row>
    <row r="72" spans="7:21" ht="12.75">
      <c r="G72" s="3"/>
      <c r="H72" s="3"/>
      <c r="I72" s="3"/>
      <c r="J72" s="3"/>
      <c r="K72" s="3"/>
      <c r="L72" s="3"/>
      <c r="M72" s="3"/>
      <c r="N72" s="3"/>
      <c r="O72" s="37"/>
      <c r="P72" s="3"/>
      <c r="Q72" s="3"/>
      <c r="R72" s="1"/>
      <c r="S72" s="1"/>
      <c r="T72" s="1"/>
      <c r="U72" s="1"/>
    </row>
    <row r="73" spans="7:21" ht="12.75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8"/>
      <c r="S73" s="38"/>
      <c r="T73" s="38"/>
      <c r="U73" s="1"/>
    </row>
    <row r="74" spans="7:21" ht="15.75">
      <c r="G74" s="12"/>
      <c r="H74" s="12"/>
      <c r="I74" s="12"/>
      <c r="J74" s="12"/>
      <c r="K74" s="12"/>
      <c r="L74" s="12"/>
      <c r="M74" s="12"/>
      <c r="N74" s="12"/>
      <c r="O74" s="3"/>
      <c r="P74" s="3"/>
      <c r="Q74" s="3"/>
      <c r="R74" s="1"/>
      <c r="S74" s="1"/>
      <c r="T74" s="1"/>
      <c r="U74" s="1"/>
    </row>
    <row r="75" spans="7:21" ht="12.75">
      <c r="G75" s="3"/>
      <c r="H75" s="3"/>
      <c r="I75" s="3"/>
      <c r="J75" s="3"/>
      <c r="K75" s="3"/>
      <c r="L75" s="3"/>
      <c r="M75" s="3"/>
      <c r="N75" s="4"/>
      <c r="O75" s="3"/>
      <c r="P75" s="1"/>
      <c r="Q75" s="1"/>
      <c r="R75" s="38"/>
      <c r="S75" s="38"/>
      <c r="T75" s="38"/>
      <c r="U75" s="1"/>
    </row>
    <row r="76" spans="7:21" ht="12.75">
      <c r="G76" s="3"/>
      <c r="H76" s="3"/>
      <c r="I76" s="3"/>
      <c r="J76" s="3"/>
      <c r="K76" s="3"/>
      <c r="L76" s="3"/>
      <c r="M76" s="3"/>
      <c r="N76" s="3"/>
      <c r="O76" s="1"/>
      <c r="P76" s="3"/>
      <c r="Q76" s="1"/>
      <c r="R76" s="38"/>
      <c r="S76" s="1"/>
      <c r="T76" s="38"/>
      <c r="U76" s="1"/>
    </row>
    <row r="77" spans="14:21" ht="12.75">
      <c r="N77" s="1"/>
      <c r="O77" s="1"/>
      <c r="P77" s="1"/>
      <c r="Q77" s="1"/>
      <c r="R77" s="1"/>
      <c r="S77" s="1"/>
      <c r="T77" s="1"/>
      <c r="U77" s="1"/>
    </row>
    <row r="78" spans="14:21" ht="12.75">
      <c r="N78" s="1"/>
      <c r="O78" s="1"/>
      <c r="P78" s="1"/>
      <c r="Q78" s="1"/>
      <c r="R78" s="1"/>
      <c r="S78" s="38"/>
      <c r="T78" s="38"/>
      <c r="U78" s="1"/>
    </row>
    <row r="79" spans="14:21" ht="12.75">
      <c r="N79" s="1"/>
      <c r="O79" s="1"/>
      <c r="P79" s="1"/>
      <c r="Q79" s="1"/>
      <c r="R79" s="1"/>
      <c r="S79" s="1"/>
      <c r="T79" s="38"/>
      <c r="U79" s="1"/>
    </row>
    <row r="80" spans="14:21" ht="12.75">
      <c r="N80" s="1"/>
      <c r="O80" s="1"/>
      <c r="P80" s="1"/>
      <c r="Q80" s="1"/>
      <c r="R80" s="1"/>
      <c r="S80" s="1"/>
      <c r="T80" s="1"/>
      <c r="U80" s="1"/>
    </row>
    <row r="83" ht="13.5" thickBot="1"/>
    <row r="84" spans="5:18" ht="12.75">
      <c r="E84" s="499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1"/>
    </row>
    <row r="85" spans="5:18" ht="12.75">
      <c r="E85" s="502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503"/>
    </row>
    <row r="86" spans="5:18" ht="12.75">
      <c r="E86" s="502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503"/>
    </row>
    <row r="87" spans="5:18" ht="20.25">
      <c r="E87" s="940" t="s">
        <v>328</v>
      </c>
      <c r="F87" s="941"/>
      <c r="G87" s="941"/>
      <c r="H87" s="941"/>
      <c r="I87" s="941"/>
      <c r="J87" s="941"/>
      <c r="K87" s="941"/>
      <c r="L87" s="941"/>
      <c r="M87" s="941"/>
      <c r="N87" s="941"/>
      <c r="O87" s="941"/>
      <c r="P87" s="941"/>
      <c r="Q87" s="941"/>
      <c r="R87" s="942"/>
    </row>
    <row r="88" spans="5:19" ht="12.75">
      <c r="E88" s="502"/>
      <c r="F88" s="200"/>
      <c r="G88" s="202"/>
      <c r="H88" s="202"/>
      <c r="I88" s="202"/>
      <c r="J88" s="7"/>
      <c r="K88" s="7"/>
      <c r="L88" s="7"/>
      <c r="M88" s="7"/>
      <c r="N88" s="203"/>
      <c r="O88" s="7"/>
      <c r="P88" s="7"/>
      <c r="Q88" s="200"/>
      <c r="R88" s="190"/>
      <c r="S88" s="1"/>
    </row>
    <row r="89" spans="5:18" ht="12.75">
      <c r="E89" s="502"/>
      <c r="F89" s="200"/>
      <c r="G89" s="204" t="s">
        <v>85</v>
      </c>
      <c r="H89" s="200"/>
      <c r="I89" s="200" t="s">
        <v>86</v>
      </c>
      <c r="J89" s="200"/>
      <c r="K89" s="200"/>
      <c r="L89" s="205" t="s">
        <v>37</v>
      </c>
      <c r="M89" s="200"/>
      <c r="N89" s="618">
        <f>+H23</f>
        <v>181040</v>
      </c>
      <c r="O89" s="200"/>
      <c r="P89" s="200"/>
      <c r="Q89" s="200"/>
      <c r="R89" s="503"/>
    </row>
    <row r="90" spans="5:18" ht="12.75">
      <c r="E90" s="502"/>
      <c r="F90" s="200"/>
      <c r="G90" s="200" t="s">
        <v>87</v>
      </c>
      <c r="H90" s="200"/>
      <c r="I90" s="200" t="s">
        <v>86</v>
      </c>
      <c r="J90" s="200"/>
      <c r="K90" s="200"/>
      <c r="L90" s="205" t="s">
        <v>37</v>
      </c>
      <c r="M90" s="200"/>
      <c r="N90" s="618">
        <f>+I23</f>
        <v>26400</v>
      </c>
      <c r="O90" s="200"/>
      <c r="P90" s="200"/>
      <c r="Q90" s="200"/>
      <c r="R90" s="503"/>
    </row>
    <row r="91" spans="5:18" ht="12.75">
      <c r="E91" s="502"/>
      <c r="F91" s="200"/>
      <c r="G91" s="204" t="s">
        <v>66</v>
      </c>
      <c r="H91" s="200"/>
      <c r="I91" s="200" t="s">
        <v>86</v>
      </c>
      <c r="J91" s="200"/>
      <c r="K91" s="200"/>
      <c r="L91" s="205" t="s">
        <v>37</v>
      </c>
      <c r="M91" s="200"/>
      <c r="N91" s="618">
        <f>+J23</f>
        <v>286278</v>
      </c>
      <c r="O91" s="200"/>
      <c r="P91" s="200"/>
      <c r="Q91" s="200"/>
      <c r="R91" s="503"/>
    </row>
    <row r="92" spans="5:18" ht="12.75">
      <c r="E92" s="502"/>
      <c r="F92" s="200"/>
      <c r="G92" s="204" t="s">
        <v>88</v>
      </c>
      <c r="H92" s="200"/>
      <c r="I92" s="200" t="s">
        <v>86</v>
      </c>
      <c r="J92" s="200"/>
      <c r="K92" s="200"/>
      <c r="L92" s="205" t="s">
        <v>37</v>
      </c>
      <c r="M92" s="200"/>
      <c r="N92" s="618">
        <f>+K23</f>
        <v>24400</v>
      </c>
      <c r="O92" s="200"/>
      <c r="P92" s="200"/>
      <c r="Q92" s="200"/>
      <c r="R92" s="503"/>
    </row>
    <row r="93" spans="5:18" ht="12.75">
      <c r="E93" s="502"/>
      <c r="F93" s="200"/>
      <c r="G93" s="204" t="s">
        <v>89</v>
      </c>
      <c r="H93" s="200"/>
      <c r="I93" s="200" t="s">
        <v>86</v>
      </c>
      <c r="J93" s="200"/>
      <c r="K93" s="200"/>
      <c r="L93" s="205" t="s">
        <v>37</v>
      </c>
      <c r="M93" s="200"/>
      <c r="N93" s="618">
        <f>+L23</f>
        <v>7200</v>
      </c>
      <c r="O93" s="200"/>
      <c r="P93" s="200"/>
      <c r="Q93" s="200"/>
      <c r="R93" s="503"/>
    </row>
    <row r="94" spans="5:18" ht="13.5" thickBot="1">
      <c r="E94" s="502"/>
      <c r="F94" s="200"/>
      <c r="G94" s="204" t="s">
        <v>90</v>
      </c>
      <c r="H94" s="200"/>
      <c r="I94" s="200" t="s">
        <v>86</v>
      </c>
      <c r="J94" s="200"/>
      <c r="K94" s="200"/>
      <c r="L94" s="205" t="s">
        <v>37</v>
      </c>
      <c r="M94" s="200"/>
      <c r="N94" s="619">
        <f>SUM(N24:N28)+N21+N22</f>
        <v>18176</v>
      </c>
      <c r="O94" s="200"/>
      <c r="P94" s="200"/>
      <c r="Q94" s="200"/>
      <c r="R94" s="503"/>
    </row>
    <row r="95" spans="5:18" ht="13.5" thickBot="1">
      <c r="E95" s="502"/>
      <c r="F95" s="200"/>
      <c r="G95" s="200"/>
      <c r="H95" s="200"/>
      <c r="I95" s="200"/>
      <c r="J95" s="200"/>
      <c r="K95" s="200"/>
      <c r="L95" s="200"/>
      <c r="M95" s="200"/>
      <c r="N95" s="620">
        <f>SUM(N89:N94)</f>
        <v>543494</v>
      </c>
      <c r="O95" s="191">
        <f>+N32</f>
        <v>0</v>
      </c>
      <c r="P95" s="200"/>
      <c r="Q95" s="200"/>
      <c r="R95" s="503"/>
    </row>
    <row r="96" spans="5:21" ht="12.75">
      <c r="E96" s="504" t="s">
        <v>91</v>
      </c>
      <c r="F96" s="200" t="s">
        <v>92</v>
      </c>
      <c r="G96" s="200"/>
      <c r="H96" s="200"/>
      <c r="I96" s="505"/>
      <c r="J96" s="200"/>
      <c r="K96" s="200"/>
      <c r="L96" s="205" t="s">
        <v>37</v>
      </c>
      <c r="M96" s="200"/>
      <c r="N96" s="49">
        <f>ROUND(S96*12,0)</f>
        <v>98400</v>
      </c>
      <c r="O96" s="208"/>
      <c r="P96" s="7"/>
      <c r="Q96" s="200"/>
      <c r="R96" s="190"/>
      <c r="S96" s="192">
        <f>ROUND((ROUND((N98+N101+K29)/12,0))/100,0)*100</f>
        <v>8200</v>
      </c>
      <c r="U96" t="str">
        <f>[2]!NUM2TEXT(+S96)</f>
        <v>Rupees Eight  Thousand Two hundred Only</v>
      </c>
    </row>
    <row r="97" spans="5:19" ht="12.75">
      <c r="E97" s="504" t="s">
        <v>93</v>
      </c>
      <c r="F97" s="200" t="s">
        <v>94</v>
      </c>
      <c r="G97" s="200"/>
      <c r="H97" s="200"/>
      <c r="I97" s="505"/>
      <c r="J97" s="200"/>
      <c r="K97" s="200"/>
      <c r="L97" s="205" t="s">
        <v>37</v>
      </c>
      <c r="M97" s="200"/>
      <c r="N97" s="49">
        <f>+N89+N90+N91</f>
        <v>493718</v>
      </c>
      <c r="O97" s="208"/>
      <c r="P97" s="7"/>
      <c r="Q97" s="200"/>
      <c r="R97" s="190"/>
      <c r="S97" s="1"/>
    </row>
    <row r="98" spans="5:19" ht="12.75">
      <c r="E98" s="504" t="s">
        <v>95</v>
      </c>
      <c r="F98" s="200" t="s">
        <v>96</v>
      </c>
      <c r="G98" s="200"/>
      <c r="H98" s="200"/>
      <c r="I98" s="505"/>
      <c r="J98" s="200"/>
      <c r="K98" s="200"/>
      <c r="L98" s="205" t="s">
        <v>37</v>
      </c>
      <c r="M98" s="7"/>
      <c r="N98" s="191">
        <f>ROUND(N97*0.1,0)</f>
        <v>49372</v>
      </c>
      <c r="O98" s="208"/>
      <c r="P98" s="7"/>
      <c r="Q98" s="200"/>
      <c r="R98" s="190"/>
      <c r="S98" s="1"/>
    </row>
    <row r="99" spans="5:19" ht="12.75">
      <c r="E99" s="506" t="s">
        <v>99</v>
      </c>
      <c r="F99" s="200"/>
      <c r="G99" s="505"/>
      <c r="H99" s="200"/>
      <c r="I99" s="200"/>
      <c r="J99" s="200"/>
      <c r="K99" s="207" t="s">
        <v>97</v>
      </c>
      <c r="L99" s="205" t="s">
        <v>37</v>
      </c>
      <c r="M99" s="7"/>
      <c r="N99" s="49">
        <f>+N96-N98</f>
        <v>49028</v>
      </c>
      <c r="O99" s="7"/>
      <c r="P99" s="7"/>
      <c r="Q99" s="200"/>
      <c r="R99" s="190"/>
      <c r="S99" s="1"/>
    </row>
    <row r="100" spans="5:19" ht="12.75">
      <c r="E100" s="506"/>
      <c r="F100" s="200"/>
      <c r="G100" s="505"/>
      <c r="H100" s="200"/>
      <c r="I100" s="200"/>
      <c r="J100" s="200"/>
      <c r="K100" s="200"/>
      <c r="L100" s="205"/>
      <c r="M100" s="7"/>
      <c r="N100" s="621"/>
      <c r="O100" s="7"/>
      <c r="P100" s="200"/>
      <c r="Q100" s="200"/>
      <c r="R100" s="503"/>
      <c r="S100" s="38"/>
    </row>
    <row r="101" spans="5:19" ht="12.75">
      <c r="E101" s="506" t="s">
        <v>100</v>
      </c>
      <c r="F101" s="200"/>
      <c r="G101" s="505"/>
      <c r="H101" s="200"/>
      <c r="I101" s="200"/>
      <c r="J101" s="200"/>
      <c r="K101" s="200"/>
      <c r="L101" s="205" t="s">
        <v>37</v>
      </c>
      <c r="M101" s="200"/>
      <c r="N101" s="191">
        <f>+N92</f>
        <v>24400</v>
      </c>
      <c r="O101" s="200"/>
      <c r="P101" s="200"/>
      <c r="Q101" s="200"/>
      <c r="R101" s="503"/>
      <c r="S101" s="1"/>
    </row>
    <row r="102" spans="5:19" ht="12.75">
      <c r="E102" s="506"/>
      <c r="F102" s="200"/>
      <c r="G102" s="505"/>
      <c r="H102" s="200"/>
      <c r="I102" s="200"/>
      <c r="J102" s="200"/>
      <c r="K102" s="200"/>
      <c r="L102" s="205"/>
      <c r="M102" s="200"/>
      <c r="N102" s="49"/>
      <c r="O102" s="200"/>
      <c r="P102" s="200"/>
      <c r="Q102" s="200"/>
      <c r="R102" s="503"/>
      <c r="S102" s="38"/>
    </row>
    <row r="103" spans="5:19" ht="12.75">
      <c r="E103" s="506" t="s">
        <v>101</v>
      </c>
      <c r="F103" s="200"/>
      <c r="G103" s="505"/>
      <c r="H103" s="200"/>
      <c r="I103" s="200"/>
      <c r="J103" s="200"/>
      <c r="K103" s="200"/>
      <c r="L103" s="205" t="s">
        <v>37</v>
      </c>
      <c r="M103" s="200"/>
      <c r="N103" s="49">
        <f>ROUND(N97*0.5,0)</f>
        <v>246859</v>
      </c>
      <c r="O103" s="200"/>
      <c r="P103" s="200"/>
      <c r="Q103" s="200"/>
      <c r="R103" s="503"/>
      <c r="S103" s="1"/>
    </row>
    <row r="104" spans="5:18" ht="12.75">
      <c r="E104" s="506"/>
      <c r="F104" s="200"/>
      <c r="G104" s="505"/>
      <c r="H104" s="200"/>
      <c r="I104" s="200"/>
      <c r="J104" s="200"/>
      <c r="K104" s="200"/>
      <c r="L104" s="205" t="s">
        <v>37</v>
      </c>
      <c r="M104" s="200"/>
      <c r="N104" s="49"/>
      <c r="O104" s="200"/>
      <c r="P104" s="200"/>
      <c r="Q104" s="200"/>
      <c r="R104" s="503"/>
    </row>
    <row r="105" spans="5:18" ht="12.75">
      <c r="E105" s="27" t="s">
        <v>102</v>
      </c>
      <c r="F105" s="200"/>
      <c r="G105" s="505"/>
      <c r="H105" s="200"/>
      <c r="I105" s="200"/>
      <c r="J105" s="200"/>
      <c r="K105" s="200"/>
      <c r="L105" s="205" t="s">
        <v>37</v>
      </c>
      <c r="M105" s="200"/>
      <c r="N105" s="191">
        <f>MIN(N99,N101,N103)</f>
        <v>24400</v>
      </c>
      <c r="O105" s="200"/>
      <c r="P105" s="200"/>
      <c r="Q105" s="200"/>
      <c r="R105" s="503"/>
    </row>
    <row r="106" spans="5:18" ht="12.75">
      <c r="E106" s="27"/>
      <c r="F106" s="200"/>
      <c r="G106" s="505"/>
      <c r="H106" s="200"/>
      <c r="I106" s="200"/>
      <c r="J106" s="200"/>
      <c r="K106" s="200"/>
      <c r="L106" s="1"/>
      <c r="M106" s="200"/>
      <c r="N106" s="1"/>
      <c r="O106" s="200"/>
      <c r="P106" s="200"/>
      <c r="Q106" s="200"/>
      <c r="R106" s="503"/>
    </row>
    <row r="107" spans="5:18" ht="12.75">
      <c r="E107" s="507" t="s">
        <v>98</v>
      </c>
      <c r="F107" s="200"/>
      <c r="G107" s="505"/>
      <c r="H107" s="7"/>
      <c r="I107" s="7"/>
      <c r="J107" s="7"/>
      <c r="K107" s="7"/>
      <c r="L107" s="205" t="s">
        <v>37</v>
      </c>
      <c r="M107" s="7"/>
      <c r="N107" s="201" t="str">
        <f>B11</f>
        <v>N</v>
      </c>
      <c r="O107" s="7"/>
      <c r="P107" s="7"/>
      <c r="Q107" s="200"/>
      <c r="R107" s="503"/>
    </row>
    <row r="108" spans="5:18" ht="12.75">
      <c r="E108" s="508" t="s">
        <v>233</v>
      </c>
      <c r="F108" s="200"/>
      <c r="G108" s="505"/>
      <c r="H108" s="7"/>
      <c r="I108" s="7"/>
      <c r="J108" s="7"/>
      <c r="K108" s="7"/>
      <c r="L108" s="7"/>
      <c r="M108" s="7"/>
      <c r="N108" s="7"/>
      <c r="O108" s="7"/>
      <c r="P108" s="7"/>
      <c r="Q108" s="200"/>
      <c r="R108" s="503"/>
    </row>
    <row r="109" spans="5:18" ht="12.75">
      <c r="E109" s="1010" t="s">
        <v>238</v>
      </c>
      <c r="F109" s="1011"/>
      <c r="G109" s="1011"/>
      <c r="H109" s="1011"/>
      <c r="I109" s="1011"/>
      <c r="J109" s="1011"/>
      <c r="K109" s="1011"/>
      <c r="L109" s="1011"/>
      <c r="M109" s="1011"/>
      <c r="N109" s="1011"/>
      <c r="O109" s="1011"/>
      <c r="P109" s="1011"/>
      <c r="Q109" s="1011"/>
      <c r="R109" s="503"/>
    </row>
    <row r="110" spans="5:18" ht="12.75">
      <c r="E110" s="1010"/>
      <c r="F110" s="1011"/>
      <c r="G110" s="1011"/>
      <c r="H110" s="1011"/>
      <c r="I110" s="1011"/>
      <c r="J110" s="1011"/>
      <c r="K110" s="1011"/>
      <c r="L110" s="1011"/>
      <c r="M110" s="1011"/>
      <c r="N110" s="1011"/>
      <c r="O110" s="1011"/>
      <c r="P110" s="1011"/>
      <c r="Q110" s="1011"/>
      <c r="R110" s="503"/>
    </row>
    <row r="111" spans="5:18" ht="13.5" thickBot="1">
      <c r="E111" s="507"/>
      <c r="F111" s="200"/>
      <c r="G111" s="505"/>
      <c r="H111" s="7"/>
      <c r="I111" s="7"/>
      <c r="J111" s="7"/>
      <c r="K111" s="7"/>
      <c r="L111" s="7"/>
      <c r="M111" s="7"/>
      <c r="N111" s="7"/>
      <c r="O111" s="7"/>
      <c r="P111" s="7"/>
      <c r="Q111" s="200"/>
      <c r="R111" s="503"/>
    </row>
    <row r="112" spans="5:18" ht="12.75">
      <c r="E112" s="502"/>
      <c r="F112" s="209">
        <v>1</v>
      </c>
      <c r="G112" s="210" t="str">
        <f>+H36</f>
        <v>INTEREST ON H.B.A.</v>
      </c>
      <c r="H112" s="210"/>
      <c r="I112" s="210"/>
      <c r="J112" s="210"/>
      <c r="K112" s="210"/>
      <c r="L112" s="211"/>
      <c r="M112" s="189" t="s">
        <v>37</v>
      </c>
      <c r="N112" s="212">
        <f>+N36</f>
        <v>100000</v>
      </c>
      <c r="O112" s="1004"/>
      <c r="P112" s="1005"/>
      <c r="Q112" s="1006"/>
      <c r="R112" s="503"/>
    </row>
    <row r="113" spans="5:18" ht="12.75">
      <c r="E113" s="502"/>
      <c r="F113" s="213">
        <v>2</v>
      </c>
      <c r="G113" s="200" t="str">
        <f>+H38</f>
        <v>80-D MEDICIAL INSURANCE</v>
      </c>
      <c r="H113" s="200"/>
      <c r="I113" s="200"/>
      <c r="J113" s="200"/>
      <c r="K113" s="200"/>
      <c r="L113" s="7"/>
      <c r="M113" s="214" t="s">
        <v>37</v>
      </c>
      <c r="N113" s="215">
        <f>+N38</f>
        <v>0</v>
      </c>
      <c r="O113" s="1007"/>
      <c r="P113" s="1008"/>
      <c r="Q113" s="1009"/>
      <c r="R113" s="503"/>
    </row>
    <row r="114" spans="5:18" ht="13.5" thickBot="1">
      <c r="E114" s="502"/>
      <c r="F114" s="216">
        <v>3</v>
      </c>
      <c r="G114" s="217" t="str">
        <f>+H41</f>
        <v>TECH.EDUCATION INTEREST</v>
      </c>
      <c r="H114" s="217"/>
      <c r="I114" s="217"/>
      <c r="J114" s="217"/>
      <c r="K114" s="217"/>
      <c r="L114" s="218"/>
      <c r="M114" s="183" t="s">
        <v>37</v>
      </c>
      <c r="N114" s="219">
        <f>+N41</f>
        <v>0</v>
      </c>
      <c r="O114" s="996">
        <f>+N112+N113+N114</f>
        <v>100000</v>
      </c>
      <c r="P114" s="997"/>
      <c r="Q114" s="998"/>
      <c r="R114" s="503"/>
    </row>
    <row r="115" spans="5:18" ht="12.75">
      <c r="E115" s="502"/>
      <c r="F115" s="220">
        <v>1</v>
      </c>
      <c r="G115" s="210" t="str">
        <f aca="true" t="shared" si="19" ref="G115:G120">+Q34</f>
        <v>PPF Subscription</v>
      </c>
      <c r="H115" s="210"/>
      <c r="I115" s="210"/>
      <c r="J115" s="210"/>
      <c r="K115" s="210"/>
      <c r="L115" s="211"/>
      <c r="M115" s="189" t="s">
        <v>37</v>
      </c>
      <c r="N115" s="212">
        <f aca="true" t="shared" si="20" ref="N115:N120">+U34</f>
        <v>0</v>
      </c>
      <c r="O115" s="210"/>
      <c r="P115" s="210"/>
      <c r="Q115" s="221"/>
      <c r="R115" s="503"/>
    </row>
    <row r="116" spans="5:18" ht="12.75">
      <c r="E116" s="502"/>
      <c r="F116" s="222">
        <v>2</v>
      </c>
      <c r="G116" s="223" t="str">
        <f t="shared" si="19"/>
        <v>PLI Subscription</v>
      </c>
      <c r="H116" s="223"/>
      <c r="I116" s="223"/>
      <c r="J116" s="223"/>
      <c r="K116" s="223"/>
      <c r="L116" s="224"/>
      <c r="M116" s="173" t="s">
        <v>37</v>
      </c>
      <c r="N116" s="225">
        <f t="shared" si="20"/>
        <v>0</v>
      </c>
      <c r="O116" s="223"/>
      <c r="P116" s="223"/>
      <c r="Q116" s="226"/>
      <c r="R116" s="503"/>
    </row>
    <row r="117" spans="5:18" ht="12.75">
      <c r="E117" s="502"/>
      <c r="F117" s="222">
        <v>3</v>
      </c>
      <c r="G117" s="223" t="str">
        <f t="shared" si="19"/>
        <v>LIC Subscription</v>
      </c>
      <c r="H117" s="223"/>
      <c r="I117" s="223"/>
      <c r="J117" s="223"/>
      <c r="K117" s="223"/>
      <c r="L117" s="224"/>
      <c r="M117" s="173" t="s">
        <v>37</v>
      </c>
      <c r="N117" s="225">
        <f t="shared" si="20"/>
        <v>0</v>
      </c>
      <c r="O117" s="223"/>
      <c r="P117" s="223"/>
      <c r="Q117" s="226"/>
      <c r="R117" s="503"/>
    </row>
    <row r="118" spans="5:18" ht="12.75">
      <c r="E118" s="502"/>
      <c r="F118" s="222">
        <v>4</v>
      </c>
      <c r="G118" s="223" t="str">
        <f t="shared" si="19"/>
        <v>Tution Fees</v>
      </c>
      <c r="H118" s="223"/>
      <c r="I118" s="223"/>
      <c r="J118" s="223"/>
      <c r="K118" s="223"/>
      <c r="L118" s="224"/>
      <c r="M118" s="173" t="s">
        <v>37</v>
      </c>
      <c r="N118" s="225">
        <f t="shared" si="20"/>
        <v>0</v>
      </c>
      <c r="O118" s="223"/>
      <c r="P118" s="223"/>
      <c r="Q118" s="226"/>
      <c r="R118" s="503"/>
    </row>
    <row r="119" spans="5:18" ht="12.75">
      <c r="E119" s="502"/>
      <c r="F119" s="222">
        <v>5</v>
      </c>
      <c r="G119" s="223" t="str">
        <f t="shared" si="19"/>
        <v>ICICI Prudential</v>
      </c>
      <c r="H119" s="223"/>
      <c r="I119" s="223"/>
      <c r="J119" s="223"/>
      <c r="K119" s="223"/>
      <c r="L119" s="224"/>
      <c r="M119" s="173" t="s">
        <v>37</v>
      </c>
      <c r="N119" s="225">
        <f t="shared" si="20"/>
        <v>0</v>
      </c>
      <c r="O119" s="223"/>
      <c r="P119" s="223"/>
      <c r="Q119" s="226"/>
      <c r="R119" s="503"/>
    </row>
    <row r="120" spans="5:18" ht="13.5" thickBot="1">
      <c r="E120" s="502"/>
      <c r="F120" s="227">
        <v>6</v>
      </c>
      <c r="G120" s="217" t="str">
        <f t="shared" si="19"/>
        <v>Refund of loan for H.B.A.</v>
      </c>
      <c r="H120" s="217"/>
      <c r="I120" s="217"/>
      <c r="J120" s="217"/>
      <c r="K120" s="217"/>
      <c r="L120" s="218"/>
      <c r="M120" s="183" t="s">
        <v>37</v>
      </c>
      <c r="N120" s="219">
        <f t="shared" si="20"/>
        <v>0</v>
      </c>
      <c r="O120" s="217"/>
      <c r="P120" s="217"/>
      <c r="Q120" s="228"/>
      <c r="R120" s="503"/>
    </row>
    <row r="121" spans="5:18" ht="13.5" thickBot="1">
      <c r="E121" s="502"/>
      <c r="F121" s="229">
        <v>7</v>
      </c>
      <c r="G121" s="230" t="str">
        <f>+AT17</f>
        <v>INFRASTRUCTURE BOND</v>
      </c>
      <c r="H121" s="231"/>
      <c r="I121" s="231"/>
      <c r="J121" s="230"/>
      <c r="K121" s="230"/>
      <c r="L121" s="232"/>
      <c r="M121" s="233" t="s">
        <v>37</v>
      </c>
      <c r="N121" s="234">
        <f>+U43</f>
        <v>0</v>
      </c>
      <c r="O121" s="1001">
        <f>+N115+N116+N117+N118+N119+N120</f>
        <v>0</v>
      </c>
      <c r="P121" s="1002"/>
      <c r="Q121" s="1003"/>
      <c r="R121" s="503"/>
    </row>
    <row r="122" spans="5:18" ht="12.75">
      <c r="E122" s="502"/>
      <c r="F122" s="207"/>
      <c r="G122" s="200"/>
      <c r="H122" s="200"/>
      <c r="I122" s="200"/>
      <c r="J122" s="200"/>
      <c r="K122" s="200"/>
      <c r="L122" s="7"/>
      <c r="M122" s="201"/>
      <c r="N122" s="206"/>
      <c r="O122" s="200"/>
      <c r="P122" s="200"/>
      <c r="Q122" s="200"/>
      <c r="R122" s="503"/>
    </row>
    <row r="123" spans="5:18" ht="12.75">
      <c r="E123" s="502"/>
      <c r="F123" s="207"/>
      <c r="G123" s="200"/>
      <c r="H123" s="200"/>
      <c r="I123" s="200"/>
      <c r="J123" s="200"/>
      <c r="K123" s="200"/>
      <c r="L123" s="7"/>
      <c r="M123" s="201"/>
      <c r="N123" s="206"/>
      <c r="O123" s="200"/>
      <c r="P123" s="200"/>
      <c r="Q123" s="200"/>
      <c r="R123" s="503"/>
    </row>
    <row r="124" spans="5:18" ht="13.5" thickBot="1">
      <c r="E124" s="509"/>
      <c r="F124" s="510"/>
      <c r="G124" s="510"/>
      <c r="H124" s="510"/>
      <c r="I124" s="510"/>
      <c r="J124" s="510"/>
      <c r="K124" s="510"/>
      <c r="L124" s="510"/>
      <c r="M124" s="511" t="s">
        <v>51</v>
      </c>
      <c r="N124" s="510"/>
      <c r="O124" s="510"/>
      <c r="P124" s="510"/>
      <c r="Q124" s="510"/>
      <c r="R124" s="512"/>
    </row>
    <row r="125" spans="5:18" ht="12.75"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</row>
    <row r="126" ht="12.75" hidden="1"/>
    <row r="127" ht="12.75" hidden="1"/>
    <row r="128" ht="18" hidden="1">
      <c r="B128" s="525">
        <v>1</v>
      </c>
    </row>
    <row r="129" ht="18" hidden="1">
      <c r="B129" s="525">
        <v>4</v>
      </c>
    </row>
    <row r="130" ht="18" hidden="1">
      <c r="B130" s="525">
        <v>7</v>
      </c>
    </row>
    <row r="131" ht="18" hidden="1">
      <c r="B131" s="525">
        <v>10</v>
      </c>
    </row>
    <row r="132" ht="12.75" hidden="1"/>
    <row r="133" ht="18" hidden="1">
      <c r="B133" s="525" t="s">
        <v>6</v>
      </c>
    </row>
    <row r="134" ht="18" hidden="1">
      <c r="B134" s="525" t="s">
        <v>8</v>
      </c>
    </row>
    <row r="135" ht="12.75" hidden="1"/>
    <row r="136" ht="18" hidden="1">
      <c r="B136" s="525" t="s">
        <v>71</v>
      </c>
    </row>
    <row r="137" ht="18" hidden="1">
      <c r="B137" s="525" t="s">
        <v>73</v>
      </c>
    </row>
    <row r="138" ht="12.75" hidden="1"/>
    <row r="139" ht="12.75" hidden="1"/>
    <row r="140" ht="15.75" hidden="1">
      <c r="B140" s="526">
        <v>0</v>
      </c>
    </row>
    <row r="141" ht="15.75" hidden="1">
      <c r="B141" s="526">
        <v>3</v>
      </c>
    </row>
    <row r="142" ht="15.75" hidden="1">
      <c r="B142" s="526">
        <f>+B141+1</f>
        <v>4</v>
      </c>
    </row>
    <row r="143" ht="15.75" hidden="1">
      <c r="B143" s="526">
        <f aca="true" t="shared" si="21" ref="B143:B154">+B142+1</f>
        <v>5</v>
      </c>
    </row>
    <row r="144" ht="15.75" hidden="1">
      <c r="B144" s="526">
        <f t="shared" si="21"/>
        <v>6</v>
      </c>
    </row>
    <row r="145" ht="15.75" hidden="1">
      <c r="B145" s="526">
        <f t="shared" si="21"/>
        <v>7</v>
      </c>
    </row>
    <row r="146" ht="15.75" hidden="1">
      <c r="B146" s="526">
        <f t="shared" si="21"/>
        <v>8</v>
      </c>
    </row>
    <row r="147" ht="15.75" hidden="1">
      <c r="B147" s="526">
        <f t="shared" si="21"/>
        <v>9</v>
      </c>
    </row>
    <row r="148" ht="15.75" hidden="1">
      <c r="B148" s="526">
        <f t="shared" si="21"/>
        <v>10</v>
      </c>
    </row>
    <row r="149" ht="15.75" hidden="1">
      <c r="B149" s="526">
        <f t="shared" si="21"/>
        <v>11</v>
      </c>
    </row>
    <row r="150" ht="15.75" hidden="1">
      <c r="B150" s="526">
        <f t="shared" si="21"/>
        <v>12</v>
      </c>
    </row>
    <row r="151" ht="12.75" hidden="1"/>
    <row r="152" ht="15.75" hidden="1">
      <c r="B152" s="526">
        <v>0</v>
      </c>
    </row>
    <row r="153" ht="15.75" hidden="1">
      <c r="B153" s="526">
        <f t="shared" si="21"/>
        <v>1</v>
      </c>
    </row>
    <row r="154" ht="15.75" hidden="1">
      <c r="B154" s="526">
        <f t="shared" si="21"/>
        <v>2</v>
      </c>
    </row>
    <row r="155" ht="15.75" hidden="1">
      <c r="B155" s="526"/>
    </row>
    <row r="156" ht="15.75" hidden="1">
      <c r="B156" s="526" t="s">
        <v>236</v>
      </c>
    </row>
    <row r="157" ht="15.75" hidden="1">
      <c r="B157" s="526" t="s">
        <v>237</v>
      </c>
    </row>
    <row r="158" ht="13.5" hidden="1" thickBot="1"/>
    <row r="159" spans="1:2" ht="13.5" hidden="1" thickBot="1">
      <c r="A159" s="529" t="s">
        <v>72</v>
      </c>
      <c r="B159" s="530">
        <v>0</v>
      </c>
    </row>
    <row r="160" spans="1:2" ht="12.75" hidden="1">
      <c r="A160" s="531">
        <v>1</v>
      </c>
      <c r="B160" s="532">
        <v>1900</v>
      </c>
    </row>
    <row r="161" spans="1:2" ht="12.75" hidden="1">
      <c r="A161" s="533">
        <f>+A160+1</f>
        <v>2</v>
      </c>
      <c r="B161" s="534">
        <v>2200</v>
      </c>
    </row>
    <row r="162" spans="1:2" ht="12.75" hidden="1">
      <c r="A162" s="533">
        <f aca="true" t="shared" si="22" ref="A162:A170">+A161+1</f>
        <v>3</v>
      </c>
      <c r="B162" s="534">
        <v>2500</v>
      </c>
    </row>
    <row r="163" spans="1:2" ht="12.75" hidden="1">
      <c r="A163" s="533">
        <f t="shared" si="22"/>
        <v>4</v>
      </c>
      <c r="B163" s="534">
        <v>2800</v>
      </c>
    </row>
    <row r="164" spans="1:2" ht="12.75" hidden="1">
      <c r="A164" s="533">
        <f t="shared" si="22"/>
        <v>5</v>
      </c>
      <c r="B164" s="534">
        <v>4300</v>
      </c>
    </row>
    <row r="165" spans="1:2" ht="12.75" hidden="1">
      <c r="A165" s="533">
        <f t="shared" si="22"/>
        <v>6</v>
      </c>
      <c r="B165" s="534">
        <v>5100</v>
      </c>
    </row>
    <row r="166" spans="1:2" ht="12.75" hidden="1">
      <c r="A166" s="533">
        <f t="shared" si="22"/>
        <v>7</v>
      </c>
      <c r="B166" s="534">
        <v>5400</v>
      </c>
    </row>
    <row r="167" spans="1:2" ht="12.75" hidden="1">
      <c r="A167" s="533">
        <f t="shared" si="22"/>
        <v>8</v>
      </c>
      <c r="B167" s="534">
        <v>6100</v>
      </c>
    </row>
    <row r="168" spans="1:2" ht="12.75" hidden="1">
      <c r="A168" s="533">
        <f t="shared" si="22"/>
        <v>9</v>
      </c>
      <c r="B168" s="534">
        <v>6200</v>
      </c>
    </row>
    <row r="169" spans="1:2" ht="12.75" hidden="1">
      <c r="A169" s="533">
        <f t="shared" si="22"/>
        <v>10</v>
      </c>
      <c r="B169" s="534">
        <v>7000</v>
      </c>
    </row>
    <row r="170" spans="1:2" ht="12.75" hidden="1">
      <c r="A170" s="533">
        <f t="shared" si="22"/>
        <v>11</v>
      </c>
      <c r="B170" s="534">
        <v>8700</v>
      </c>
    </row>
    <row r="171" spans="1:2" ht="12.75" hidden="1">
      <c r="A171" s="533">
        <v>12</v>
      </c>
      <c r="B171" s="534">
        <v>4300</v>
      </c>
    </row>
    <row r="172" spans="1:2" ht="12.75" hidden="1">
      <c r="A172" s="533">
        <v>13</v>
      </c>
      <c r="B172" s="534">
        <v>2900</v>
      </c>
    </row>
    <row r="173" spans="1:2" ht="12.75" hidden="1">
      <c r="A173" s="533">
        <v>14</v>
      </c>
      <c r="B173" s="534">
        <v>9500</v>
      </c>
    </row>
    <row r="174" spans="1:2" ht="13.5" hidden="1" thickBot="1">
      <c r="A174" s="535">
        <v>15</v>
      </c>
      <c r="B174" s="536">
        <v>1400</v>
      </c>
    </row>
    <row r="175" spans="1:2" ht="13.5" hidden="1" thickBot="1">
      <c r="A175" s="537">
        <v>16</v>
      </c>
      <c r="B175" s="538">
        <v>300</v>
      </c>
    </row>
    <row r="176" ht="12.75" hidden="1"/>
    <row r="177" ht="12.75" hidden="1"/>
    <row r="178" ht="12.75" hidden="1"/>
  </sheetData>
  <sheetProtection/>
  <mergeCells count="94">
    <mergeCell ref="A53:A60"/>
    <mergeCell ref="A63:A70"/>
    <mergeCell ref="A10:A11"/>
    <mergeCell ref="Q54:S54"/>
    <mergeCell ref="Q44:T44"/>
    <mergeCell ref="Q46:T46"/>
    <mergeCell ref="Q45:T45"/>
    <mergeCell ref="Q50:S50"/>
    <mergeCell ref="H46:M46"/>
    <mergeCell ref="H44:M44"/>
    <mergeCell ref="H45:L45"/>
    <mergeCell ref="Q47:T47"/>
    <mergeCell ref="G58:U58"/>
    <mergeCell ref="G59:U59"/>
    <mergeCell ref="D55:E55"/>
    <mergeCell ref="D56:E56"/>
    <mergeCell ref="D58:E58"/>
    <mergeCell ref="D59:E59"/>
    <mergeCell ref="H55:M55"/>
    <mergeCell ref="G57:U57"/>
    <mergeCell ref="AA12:AB12"/>
    <mergeCell ref="K6:K7"/>
    <mergeCell ref="J6:J7"/>
    <mergeCell ref="H30:M30"/>
    <mergeCell ref="L6:L7"/>
    <mergeCell ref="M6:M7"/>
    <mergeCell ref="N6:N7"/>
    <mergeCell ref="Q30:T30"/>
    <mergeCell ref="H6:H7"/>
    <mergeCell ref="I6:I7"/>
    <mergeCell ref="H33:M33"/>
    <mergeCell ref="T6:T7"/>
    <mergeCell ref="P4:U4"/>
    <mergeCell ref="H37:I37"/>
    <mergeCell ref="R6:R7"/>
    <mergeCell ref="S6:S7"/>
    <mergeCell ref="Q6:Q7"/>
    <mergeCell ref="Q33:S33"/>
    <mergeCell ref="H43:M43"/>
    <mergeCell ref="AT22:AV22"/>
    <mergeCell ref="H40:M40"/>
    <mergeCell ref="H42:M42"/>
    <mergeCell ref="H35:M35"/>
    <mergeCell ref="H32:L32"/>
    <mergeCell ref="H34:L34"/>
    <mergeCell ref="H36:L36"/>
    <mergeCell ref="H38:L38"/>
    <mergeCell ref="H31:M31"/>
    <mergeCell ref="H48:M48"/>
    <mergeCell ref="H49:M49"/>
    <mergeCell ref="H51:M51"/>
    <mergeCell ref="H50:M50"/>
    <mergeCell ref="B53:E53"/>
    <mergeCell ref="D54:E54"/>
    <mergeCell ref="O114:Q114"/>
    <mergeCell ref="H56:M56"/>
    <mergeCell ref="Q56:T56"/>
    <mergeCell ref="O121:Q121"/>
    <mergeCell ref="O112:Q112"/>
    <mergeCell ref="O113:Q113"/>
    <mergeCell ref="E109:Q110"/>
    <mergeCell ref="D60:E60"/>
    <mergeCell ref="B63:E63"/>
    <mergeCell ref="D57:E57"/>
    <mergeCell ref="F1:V1"/>
    <mergeCell ref="F2:V2"/>
    <mergeCell ref="Q37:S37"/>
    <mergeCell ref="Q31:S31"/>
    <mergeCell ref="Q32:S32"/>
    <mergeCell ref="Q34:S34"/>
    <mergeCell ref="F6:F7"/>
    <mergeCell ref="Q35:S35"/>
    <mergeCell ref="G6:G7"/>
    <mergeCell ref="P3:U3"/>
    <mergeCell ref="H41:L41"/>
    <mergeCell ref="Q49:S49"/>
    <mergeCell ref="Q55:T55"/>
    <mergeCell ref="Q53:T53"/>
    <mergeCell ref="Q51:R51"/>
    <mergeCell ref="Q52:S52"/>
    <mergeCell ref="H53:M53"/>
    <mergeCell ref="H52:M52"/>
    <mergeCell ref="H54:M54"/>
    <mergeCell ref="H47:M47"/>
    <mergeCell ref="E87:R87"/>
    <mergeCell ref="Q48:S48"/>
    <mergeCell ref="O24:U24"/>
    <mergeCell ref="Q42:S42"/>
    <mergeCell ref="H39:I39"/>
    <mergeCell ref="Q43:S43"/>
    <mergeCell ref="Q39:S39"/>
    <mergeCell ref="Q38:S38"/>
    <mergeCell ref="Q41:T41"/>
    <mergeCell ref="Q40:S40"/>
  </mergeCells>
  <dataValidations count="6">
    <dataValidation type="list" allowBlank="1" showInputMessage="1" showErrorMessage="1" sqref="B15">
      <formula1>$B$140:$B$150</formula1>
    </dataValidation>
    <dataValidation type="list" allowBlank="1" showInputMessage="1" showErrorMessage="1" sqref="B16 B18:B19">
      <formula1>$B$152:$B$154</formula1>
    </dataValidation>
    <dataValidation type="list" allowBlank="1" showInputMessage="1" showErrorMessage="1" sqref="B20:B21 B11">
      <formula1>$B$156:$B$157</formula1>
    </dataValidation>
    <dataValidation type="list" allowBlank="1" showInputMessage="1" showErrorMessage="1" sqref="B8">
      <formula1>$B$128:$B$131</formula1>
    </dataValidation>
    <dataValidation type="list" allowBlank="1" showInputMessage="1" showErrorMessage="1" sqref="B4">
      <formula1>$B$133:$B$134</formula1>
    </dataValidation>
    <dataValidation type="list" allowBlank="1" showInputMessage="1" showErrorMessage="1" sqref="D3">
      <formula1>$B$136:$B$137</formula1>
    </dataValidation>
  </dataValidations>
  <printOptions/>
  <pageMargins left="0.5118110236220472" right="0.2362204724409449" top="0.15748031496062992" bottom="0.15748031496062992" header="0.5118110236220472" footer="0.5118110236220472"/>
  <pageSetup horizontalDpi="300" verticalDpi="300" orientation="portrait" paperSize="9" scale="80" r:id="rId3"/>
  <headerFooter alignWithMargins="0">
    <oddFooter>&amp;L( P.KOWSHIK-AAO/ADM/EGMORE-PRG )    &amp;D&amp;F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134"/>
  <sheetViews>
    <sheetView zoomScalePageLayoutView="0" workbookViewId="0" topLeftCell="A1">
      <selection activeCell="A3" sqref="A3:E3"/>
    </sheetView>
  </sheetViews>
  <sheetFormatPr defaultColWidth="9.140625" defaultRowHeight="18" customHeight="1"/>
  <cols>
    <col min="1" max="2" width="5.140625" style="250" customWidth="1"/>
    <col min="3" max="3" width="3.7109375" style="250" customWidth="1"/>
    <col min="4" max="4" width="16.7109375" style="250" customWidth="1"/>
    <col min="5" max="5" width="13.57421875" style="250" customWidth="1"/>
    <col min="6" max="6" width="14.7109375" style="250" customWidth="1"/>
    <col min="7" max="8" width="7.7109375" style="250" customWidth="1"/>
    <col min="9" max="9" width="20.8515625" style="250" customWidth="1"/>
    <col min="10" max="10" width="6.00390625" style="250" customWidth="1"/>
    <col min="11" max="13" width="9.140625" style="250" customWidth="1"/>
    <col min="14" max="14" width="10.7109375" style="250" customWidth="1"/>
    <col min="15" max="15" width="13.7109375" style="250" customWidth="1"/>
    <col min="16" max="16" width="10.7109375" style="250" customWidth="1"/>
    <col min="17" max="17" width="11.8515625" style="250" customWidth="1"/>
    <col min="18" max="18" width="16.7109375" style="250" customWidth="1"/>
    <col min="19" max="19" width="9.140625" style="250" customWidth="1"/>
    <col min="20" max="20" width="23.00390625" style="250" customWidth="1"/>
    <col min="21" max="16384" width="9.140625" style="250" customWidth="1"/>
  </cols>
  <sheetData>
    <row r="1" spans="1:9" ht="49.5" customHeight="1" thickBot="1">
      <c r="A1" s="1219" t="s">
        <v>104</v>
      </c>
      <c r="B1" s="1220"/>
      <c r="C1" s="1220"/>
      <c r="D1" s="1220"/>
      <c r="E1" s="1221" t="s">
        <v>105</v>
      </c>
      <c r="F1" s="1222"/>
      <c r="G1" s="1222"/>
      <c r="H1" s="1222"/>
      <c r="I1" s="1223"/>
    </row>
    <row r="2" spans="1:9" ht="18" customHeight="1" thickBot="1">
      <c r="A2" s="1083" t="s">
        <v>106</v>
      </c>
      <c r="B2" s="1084"/>
      <c r="C2" s="1084"/>
      <c r="D2" s="1084"/>
      <c r="E2" s="1084"/>
      <c r="F2" s="1224" t="s">
        <v>107</v>
      </c>
      <c r="G2" s="1225"/>
      <c r="H2" s="1225"/>
      <c r="I2" s="1226"/>
    </row>
    <row r="3" spans="1:9" ht="18" customHeight="1" thickBot="1">
      <c r="A3" s="1211" t="str">
        <f>+P131</f>
        <v>ER.A.N.MURUGADASAN,B.E.,</v>
      </c>
      <c r="B3" s="1212"/>
      <c r="C3" s="1212"/>
      <c r="D3" s="1212"/>
      <c r="E3" s="1213"/>
      <c r="F3" s="1208">
        <f>+'IT-STATEMENT-2017-2018'!H3</f>
        <v>0</v>
      </c>
      <c r="G3" s="1209"/>
      <c r="H3" s="1209"/>
      <c r="I3" s="1210"/>
    </row>
    <row r="4" spans="1:9" ht="18" customHeight="1" thickBot="1">
      <c r="A4" s="1211" t="s">
        <v>311</v>
      </c>
      <c r="B4" s="1212"/>
      <c r="C4" s="1212"/>
      <c r="D4" s="1212"/>
      <c r="E4" s="1213"/>
      <c r="F4" s="1208">
        <f>+'IT-STATEMENT-2017-2018'!H4</f>
        <v>0</v>
      </c>
      <c r="G4" s="1209"/>
      <c r="H4" s="1209"/>
      <c r="I4" s="1210"/>
    </row>
    <row r="5" spans="1:9" ht="18" customHeight="1" thickBot="1">
      <c r="A5" s="1211" t="s">
        <v>312</v>
      </c>
      <c r="B5" s="1212"/>
      <c r="C5" s="1212"/>
      <c r="D5" s="1212"/>
      <c r="E5" s="1213"/>
      <c r="F5" s="1208">
        <f>+'IT-STATEMENT-2017-2018'!H5</f>
        <v>0</v>
      </c>
      <c r="G5" s="1209"/>
      <c r="H5" s="1209"/>
      <c r="I5" s="1210"/>
    </row>
    <row r="6" spans="1:9" ht="24" customHeight="1" thickBot="1">
      <c r="A6" s="1087" t="s">
        <v>110</v>
      </c>
      <c r="B6" s="1088"/>
      <c r="C6" s="1088"/>
      <c r="D6" s="1088" t="s">
        <v>111</v>
      </c>
      <c r="E6" s="1088"/>
      <c r="F6" s="1088" t="s">
        <v>112</v>
      </c>
      <c r="G6" s="1088"/>
      <c r="H6" s="1088"/>
      <c r="I6" s="1089"/>
    </row>
    <row r="7" spans="1:9" ht="18" customHeight="1" thickBot="1">
      <c r="A7" s="1214" t="str">
        <f>+O105</f>
        <v>AADCT4784E</v>
      </c>
      <c r="B7" s="1215"/>
      <c r="C7" s="1215"/>
      <c r="D7" s="1216" t="str">
        <f>+R105</f>
        <v>CHET12067G</v>
      </c>
      <c r="E7" s="1216"/>
      <c r="F7" s="1217">
        <f>+'IT-STATEMENT-2017-2018'!P4</f>
        <v>0</v>
      </c>
      <c r="G7" s="1217"/>
      <c r="H7" s="1217"/>
      <c r="I7" s="1218"/>
    </row>
    <row r="8" spans="1:9" ht="13.5" customHeight="1">
      <c r="A8" s="1116" t="s">
        <v>113</v>
      </c>
      <c r="B8" s="1117"/>
      <c r="C8" s="1117"/>
      <c r="D8" s="1117"/>
      <c r="E8" s="1118"/>
      <c r="F8" s="1198" t="s">
        <v>114</v>
      </c>
      <c r="G8" s="1199"/>
      <c r="H8" s="1199" t="s">
        <v>115</v>
      </c>
      <c r="I8" s="1200"/>
    </row>
    <row r="9" spans="1:9" ht="13.5" customHeight="1">
      <c r="A9" s="1119"/>
      <c r="B9" s="1120"/>
      <c r="C9" s="1120"/>
      <c r="D9" s="1120"/>
      <c r="E9" s="1121"/>
      <c r="F9" s="1201" t="s">
        <v>326</v>
      </c>
      <c r="G9" s="1202"/>
      <c r="H9" s="1202" t="s">
        <v>310</v>
      </c>
      <c r="I9" s="1203"/>
    </row>
    <row r="10" spans="1:9" ht="6.75" customHeight="1">
      <c r="A10" s="1119"/>
      <c r="B10" s="1120"/>
      <c r="C10" s="1120"/>
      <c r="D10" s="1120"/>
      <c r="E10" s="1121"/>
      <c r="F10" s="1206" t="s">
        <v>327</v>
      </c>
      <c r="G10" s="1074"/>
      <c r="H10" s="1202"/>
      <c r="I10" s="1203"/>
    </row>
    <row r="11" spans="1:9" ht="6.75" customHeight="1" thickBot="1">
      <c r="A11" s="1122"/>
      <c r="B11" s="1123"/>
      <c r="C11" s="1123"/>
      <c r="D11" s="1123"/>
      <c r="E11" s="1124"/>
      <c r="F11" s="1207"/>
      <c r="G11" s="1071"/>
      <c r="H11" s="1204"/>
      <c r="I11" s="1205"/>
    </row>
    <row r="12" spans="1:9" ht="13.5" customHeight="1" thickBot="1">
      <c r="A12" s="1083" t="s">
        <v>116</v>
      </c>
      <c r="B12" s="1084"/>
      <c r="C12" s="1084"/>
      <c r="D12" s="1084" t="s">
        <v>117</v>
      </c>
      <c r="E12" s="1084"/>
      <c r="F12" s="1084" t="s">
        <v>118</v>
      </c>
      <c r="G12" s="1084"/>
      <c r="H12" s="1084" t="s">
        <v>119</v>
      </c>
      <c r="I12" s="1125"/>
    </row>
    <row r="13" spans="1:9" ht="13.5" customHeight="1">
      <c r="A13" s="251" t="s">
        <v>120</v>
      </c>
      <c r="B13" s="1192">
        <f>+P111</f>
        <v>0</v>
      </c>
      <c r="C13" s="1192"/>
      <c r="D13" s="1193">
        <f>+R111</f>
        <v>0</v>
      </c>
      <c r="E13" s="1194"/>
      <c r="F13" s="1195" t="s">
        <v>300</v>
      </c>
      <c r="G13" s="1196"/>
      <c r="H13" s="1196" t="s">
        <v>303</v>
      </c>
      <c r="I13" s="1197"/>
    </row>
    <row r="14" spans="1:9" ht="13.5" customHeight="1">
      <c r="A14" s="252" t="s">
        <v>121</v>
      </c>
      <c r="B14" s="1175">
        <f>+P112</f>
        <v>0</v>
      </c>
      <c r="C14" s="1175"/>
      <c r="D14" s="1176">
        <f>+R112</f>
        <v>0</v>
      </c>
      <c r="E14" s="1177"/>
      <c r="F14" s="1189" t="s">
        <v>301</v>
      </c>
      <c r="G14" s="1190"/>
      <c r="H14" s="1190" t="s">
        <v>304</v>
      </c>
      <c r="I14" s="1191"/>
    </row>
    <row r="15" spans="1:9" ht="13.5" customHeight="1">
      <c r="A15" s="252" t="s">
        <v>122</v>
      </c>
      <c r="B15" s="1175">
        <f>+P113</f>
        <v>0</v>
      </c>
      <c r="C15" s="1175"/>
      <c r="D15" s="1176">
        <f>+R113</f>
        <v>0</v>
      </c>
      <c r="E15" s="1177"/>
      <c r="F15" s="1189" t="s">
        <v>302</v>
      </c>
      <c r="G15" s="1190"/>
      <c r="H15" s="1190" t="s">
        <v>305</v>
      </c>
      <c r="I15" s="1191"/>
    </row>
    <row r="16" spans="1:9" ht="13.5" customHeight="1" thickBot="1">
      <c r="A16" s="253" t="s">
        <v>123</v>
      </c>
      <c r="B16" s="1175">
        <f>+P114</f>
        <v>0</v>
      </c>
      <c r="C16" s="1175"/>
      <c r="D16" s="1176">
        <f>+R114</f>
        <v>0</v>
      </c>
      <c r="E16" s="1177"/>
      <c r="F16" s="1178" t="s">
        <v>308</v>
      </c>
      <c r="G16" s="1179"/>
      <c r="H16" s="1179" t="s">
        <v>309</v>
      </c>
      <c r="I16" s="1180"/>
    </row>
    <row r="17" spans="1:9" ht="21" customHeight="1" thickBot="1">
      <c r="A17" s="1181" t="s">
        <v>124</v>
      </c>
      <c r="B17" s="1182"/>
      <c r="C17" s="1182"/>
      <c r="D17" s="1182"/>
      <c r="E17" s="1182"/>
      <c r="F17" s="1182"/>
      <c r="G17" s="1182"/>
      <c r="H17" s="1182"/>
      <c r="I17" s="1183"/>
    </row>
    <row r="18" spans="1:9" ht="15" customHeight="1">
      <c r="A18" s="1184" t="s">
        <v>125</v>
      </c>
      <c r="B18" s="1186" t="s">
        <v>126</v>
      </c>
      <c r="C18" s="1186"/>
      <c r="D18" s="1186"/>
      <c r="E18" s="1187"/>
      <c r="F18" s="254" t="s">
        <v>86</v>
      </c>
      <c r="G18" s="1188" t="s">
        <v>86</v>
      </c>
      <c r="H18" s="1188"/>
      <c r="I18" s="255" t="s">
        <v>86</v>
      </c>
    </row>
    <row r="19" spans="1:9" ht="27" customHeight="1">
      <c r="A19" s="1185"/>
      <c r="B19" s="256" t="s">
        <v>127</v>
      </c>
      <c r="C19" s="1157" t="s">
        <v>128</v>
      </c>
      <c r="D19" s="1157"/>
      <c r="E19" s="1157"/>
      <c r="F19" s="614">
        <f>+'IT-STATEMENT-2017-2018'!N31</f>
        <v>543494</v>
      </c>
      <c r="G19" s="1172"/>
      <c r="H19" s="1172"/>
      <c r="I19" s="557"/>
    </row>
    <row r="20" spans="1:9" ht="40.5" customHeight="1">
      <c r="A20" s="1185"/>
      <c r="B20" s="256" t="s">
        <v>129</v>
      </c>
      <c r="C20" s="1157" t="s">
        <v>130</v>
      </c>
      <c r="D20" s="1157"/>
      <c r="E20" s="1157"/>
      <c r="F20" s="558"/>
      <c r="G20" s="1172"/>
      <c r="H20" s="1172"/>
      <c r="I20" s="557"/>
    </row>
    <row r="21" spans="1:9" ht="40.5" customHeight="1">
      <c r="A21" s="1185"/>
      <c r="B21" s="256" t="s">
        <v>131</v>
      </c>
      <c r="C21" s="1157" t="s">
        <v>132</v>
      </c>
      <c r="D21" s="1157"/>
      <c r="E21" s="1157"/>
      <c r="F21" s="558"/>
      <c r="G21" s="1172"/>
      <c r="H21" s="1172"/>
      <c r="I21" s="557"/>
    </row>
    <row r="22" spans="1:9" ht="18.75" customHeight="1">
      <c r="A22" s="1185"/>
      <c r="B22" s="258" t="s">
        <v>133</v>
      </c>
      <c r="C22" s="1065" t="s">
        <v>3</v>
      </c>
      <c r="D22" s="1065"/>
      <c r="E22" s="1065"/>
      <c r="F22" s="556">
        <f>+F19</f>
        <v>543494</v>
      </c>
      <c r="G22" s="1172"/>
      <c r="H22" s="1172"/>
      <c r="I22" s="557"/>
    </row>
    <row r="23" spans="1:9" ht="27" customHeight="1">
      <c r="A23" s="259" t="s">
        <v>134</v>
      </c>
      <c r="B23" s="1173" t="s">
        <v>135</v>
      </c>
      <c r="C23" s="1174"/>
      <c r="D23" s="1174"/>
      <c r="E23" s="1174"/>
      <c r="F23" s="559">
        <f>+'IT-STATEMENT-2017-2018'!N32</f>
        <v>0</v>
      </c>
      <c r="G23" s="1172"/>
      <c r="H23" s="1172"/>
      <c r="I23" s="557"/>
    </row>
    <row r="24" spans="1:9" ht="15" customHeight="1">
      <c r="A24" s="260" t="s">
        <v>136</v>
      </c>
      <c r="B24" s="1161" t="s">
        <v>137</v>
      </c>
      <c r="C24" s="1162"/>
      <c r="D24" s="1162"/>
      <c r="E24" s="1162"/>
      <c r="F24" s="558"/>
      <c r="G24" s="1147"/>
      <c r="H24" s="1147"/>
      <c r="I24" s="560">
        <f>F22-F23</f>
        <v>543494</v>
      </c>
    </row>
    <row r="25" spans="1:9" ht="15" customHeight="1">
      <c r="A25" s="262" t="s">
        <v>138</v>
      </c>
      <c r="B25" s="1163" t="s">
        <v>275</v>
      </c>
      <c r="C25" s="1164"/>
      <c r="D25" s="1164"/>
      <c r="E25" s="1165"/>
      <c r="F25" s="561">
        <f>+'IT-STATEMENT-2017-2018'!N34</f>
        <v>4350</v>
      </c>
      <c r="G25" s="1166"/>
      <c r="H25" s="1166"/>
      <c r="I25" s="563"/>
    </row>
    <row r="26" spans="1:19" ht="15" customHeight="1">
      <c r="A26" s="262"/>
      <c r="B26" s="263" t="s">
        <v>129</v>
      </c>
      <c r="C26" s="1170" t="s">
        <v>223</v>
      </c>
      <c r="D26" s="1170"/>
      <c r="E26" s="1171"/>
      <c r="F26" s="561">
        <f>+'IT-STATEMENT-2017-2018'!N36</f>
        <v>100000</v>
      </c>
      <c r="G26" s="562"/>
      <c r="H26" s="562"/>
      <c r="I26" s="563"/>
      <c r="O26" s="982"/>
      <c r="P26" s="950"/>
      <c r="Q26" s="950"/>
      <c r="R26" s="950"/>
      <c r="S26" s="951"/>
    </row>
    <row r="27" spans="1:9" ht="15" customHeight="1">
      <c r="A27" s="262"/>
      <c r="B27" s="263" t="s">
        <v>131</v>
      </c>
      <c r="C27" s="1170" t="s">
        <v>224</v>
      </c>
      <c r="D27" s="1170"/>
      <c r="E27" s="1171"/>
      <c r="F27" s="561">
        <f>+'IT-STATEMENT-2017-2018'!N38</f>
        <v>0</v>
      </c>
      <c r="G27" s="1166"/>
      <c r="H27" s="1166"/>
      <c r="I27" s="563"/>
    </row>
    <row r="28" spans="1:9" ht="15" customHeight="1">
      <c r="A28" s="264"/>
      <c r="B28" s="265" t="s">
        <v>133</v>
      </c>
      <c r="C28" s="1167" t="s">
        <v>225</v>
      </c>
      <c r="D28" s="1167"/>
      <c r="E28" s="1168"/>
      <c r="F28" s="561">
        <f>+'IT-STATEMENT-2017-2018'!N41</f>
        <v>0</v>
      </c>
      <c r="G28" s="1169"/>
      <c r="H28" s="1169"/>
      <c r="I28" s="564"/>
    </row>
    <row r="29" spans="1:9" ht="15" customHeight="1">
      <c r="A29" s="260" t="s">
        <v>139</v>
      </c>
      <c r="B29" s="1158" t="s">
        <v>140</v>
      </c>
      <c r="C29" s="1130"/>
      <c r="D29" s="1130"/>
      <c r="E29" s="1130"/>
      <c r="F29" s="556">
        <f>SUM(F25:F28)</f>
        <v>104350</v>
      </c>
      <c r="G29" s="1147"/>
      <c r="H29" s="1147"/>
      <c r="I29" s="565"/>
    </row>
    <row r="30" spans="1:9" ht="27" customHeight="1">
      <c r="A30" s="267" t="s">
        <v>141</v>
      </c>
      <c r="B30" s="1156" t="s">
        <v>142</v>
      </c>
      <c r="C30" s="1157"/>
      <c r="D30" s="1157"/>
      <c r="E30" s="1157"/>
      <c r="F30" s="558"/>
      <c r="G30" s="1147"/>
      <c r="H30" s="1147"/>
      <c r="I30" s="612">
        <f>I24-F29</f>
        <v>439144</v>
      </c>
    </row>
    <row r="31" spans="1:9" ht="27" customHeight="1">
      <c r="A31" s="267" t="s">
        <v>143</v>
      </c>
      <c r="B31" s="1145" t="s">
        <v>144</v>
      </c>
      <c r="C31" s="1146"/>
      <c r="D31" s="1146"/>
      <c r="E31" s="1146"/>
      <c r="F31" s="558"/>
      <c r="G31" s="1147"/>
      <c r="H31" s="1147"/>
      <c r="I31" s="565"/>
    </row>
    <row r="32" spans="1:14" ht="15" customHeight="1" thickBot="1">
      <c r="A32" s="268" t="s">
        <v>145</v>
      </c>
      <c r="B32" s="269" t="s">
        <v>146</v>
      </c>
      <c r="C32" s="270"/>
      <c r="D32" s="270"/>
      <c r="E32" s="271"/>
      <c r="F32" s="566"/>
      <c r="G32" s="1148"/>
      <c r="H32" s="1148"/>
      <c r="I32" s="613">
        <f>+'IT-STATEMENT-2017-2018'!N44</f>
        <v>439144</v>
      </c>
      <c r="N32" s="272"/>
    </row>
    <row r="33" spans="1:9" ht="12.75" customHeight="1">
      <c r="A33" s="1149" t="s">
        <v>147</v>
      </c>
      <c r="B33" s="1151" t="s">
        <v>148</v>
      </c>
      <c r="C33" s="1152"/>
      <c r="D33" s="1152"/>
      <c r="E33" s="1152"/>
      <c r="F33" s="1153"/>
      <c r="G33" s="1154" t="s">
        <v>149</v>
      </c>
      <c r="H33" s="1112"/>
      <c r="I33" s="1137" t="s">
        <v>150</v>
      </c>
    </row>
    <row r="34" spans="1:9" ht="12.75" customHeight="1" thickBot="1">
      <c r="A34" s="1150"/>
      <c r="B34" s="273" t="s">
        <v>151</v>
      </c>
      <c r="C34" s="1139" t="s">
        <v>152</v>
      </c>
      <c r="D34" s="1139"/>
      <c r="E34" s="1139"/>
      <c r="F34" s="1140"/>
      <c r="G34" s="1155"/>
      <c r="H34" s="1113"/>
      <c r="I34" s="1138"/>
    </row>
    <row r="35" spans="1:9" ht="12.75" customHeight="1">
      <c r="A35" s="1150"/>
      <c r="B35" s="274"/>
      <c r="C35" s="374" t="s">
        <v>127</v>
      </c>
      <c r="D35" s="1141" t="s">
        <v>153</v>
      </c>
      <c r="E35" s="1141"/>
      <c r="F35" s="1142"/>
      <c r="G35" s="1143"/>
      <c r="H35" s="1144"/>
      <c r="I35" s="570"/>
    </row>
    <row r="36" spans="1:9" ht="12.75" customHeight="1">
      <c r="A36" s="1150"/>
      <c r="B36" s="274"/>
      <c r="C36" s="375">
        <v>1</v>
      </c>
      <c r="D36" s="1126" t="str">
        <f>+'IT-STATEMENT-2017-2018'!Q31</f>
        <v>GPF Subscription</v>
      </c>
      <c r="E36" s="1126"/>
      <c r="F36" s="1127"/>
      <c r="G36" s="1159"/>
      <c r="H36" s="1160"/>
      <c r="I36" s="568">
        <f>+'IT-STATEMENT-2017-2018'!U31</f>
        <v>0</v>
      </c>
    </row>
    <row r="37" spans="1:9" ht="12.75" customHeight="1">
      <c r="A37" s="1150"/>
      <c r="B37" s="274"/>
      <c r="C37" s="375">
        <v>2</v>
      </c>
      <c r="D37" s="1126" t="str">
        <f>+'IT-STATEMENT-2017-2018'!Q32</f>
        <v>PVT.LIC</v>
      </c>
      <c r="E37" s="1126"/>
      <c r="F37" s="1127"/>
      <c r="G37" s="1159"/>
      <c r="H37" s="1160"/>
      <c r="I37" s="568">
        <f>+'IT-STATEMENT-2017-2018'!U32</f>
        <v>0</v>
      </c>
    </row>
    <row r="38" spans="1:9" ht="12.75" customHeight="1">
      <c r="A38" s="1150"/>
      <c r="B38" s="274"/>
      <c r="C38" s="375">
        <v>3</v>
      </c>
      <c r="D38" s="1126" t="str">
        <f>+'IT-STATEMENT-2017-2018'!Q33</f>
        <v>FSFS/SPF/SPFG2000</v>
      </c>
      <c r="E38" s="1126"/>
      <c r="F38" s="1127"/>
      <c r="G38" s="1128"/>
      <c r="H38" s="1129"/>
      <c r="I38" s="568">
        <f>+'IT-STATEMENT-2017-2018'!U33</f>
        <v>0</v>
      </c>
    </row>
    <row r="39" spans="1:9" ht="12.75" customHeight="1">
      <c r="A39" s="1150"/>
      <c r="B39" s="274"/>
      <c r="C39" s="375">
        <v>4</v>
      </c>
      <c r="D39" s="1126" t="str">
        <f>+'IT-STATEMENT-2017-2018'!Q34</f>
        <v>PPF Subscription</v>
      </c>
      <c r="E39" s="1126"/>
      <c r="F39" s="1127"/>
      <c r="G39" s="1128"/>
      <c r="H39" s="1129"/>
      <c r="I39" s="568">
        <f>+'IT-STATEMENT-2017-2018'!U34</f>
        <v>0</v>
      </c>
    </row>
    <row r="40" spans="1:9" ht="12.75" customHeight="1">
      <c r="A40" s="1150"/>
      <c r="B40" s="274"/>
      <c r="C40" s="375">
        <v>5</v>
      </c>
      <c r="D40" s="1126" t="str">
        <f>+'IT-STATEMENT-2017-2018'!Q35</f>
        <v>PLI Subscription</v>
      </c>
      <c r="E40" s="1126"/>
      <c r="F40" s="1127"/>
      <c r="G40" s="1128"/>
      <c r="H40" s="1129"/>
      <c r="I40" s="568">
        <f>+'IT-STATEMENT-2017-2018'!U35</f>
        <v>0</v>
      </c>
    </row>
    <row r="41" spans="1:9" ht="12.75" customHeight="1">
      <c r="A41" s="1150"/>
      <c r="B41" s="274"/>
      <c r="C41" s="375">
        <v>6</v>
      </c>
      <c r="D41" s="1126" t="str">
        <f>+'IT-STATEMENT-2017-2018'!Q36</f>
        <v>LIC Subscription</v>
      </c>
      <c r="E41" s="1126"/>
      <c r="F41" s="1127"/>
      <c r="G41" s="1128"/>
      <c r="H41" s="1129"/>
      <c r="I41" s="568">
        <f>+'IT-STATEMENT-2017-2018'!U36</f>
        <v>0</v>
      </c>
    </row>
    <row r="42" spans="1:9" ht="12.75" customHeight="1">
      <c r="A42" s="1150"/>
      <c r="B42" s="274"/>
      <c r="C42" s="375">
        <v>7</v>
      </c>
      <c r="D42" s="1126" t="str">
        <f>+'IT-STATEMENT-2017-2018'!Q37</f>
        <v>Tution Fees</v>
      </c>
      <c r="E42" s="1126"/>
      <c r="F42" s="1127"/>
      <c r="G42" s="1128"/>
      <c r="H42" s="1129"/>
      <c r="I42" s="568">
        <f>+'IT-STATEMENT-2017-2018'!U37</f>
        <v>0</v>
      </c>
    </row>
    <row r="43" spans="1:9" ht="12.75" customHeight="1">
      <c r="A43" s="1150"/>
      <c r="B43" s="274"/>
      <c r="C43" s="375">
        <v>8</v>
      </c>
      <c r="D43" s="1126" t="str">
        <f>+'IT-STATEMENT-2017-2018'!Q38</f>
        <v>ICICI Prudential</v>
      </c>
      <c r="E43" s="1126"/>
      <c r="F43" s="1127"/>
      <c r="G43" s="1128"/>
      <c r="H43" s="1129"/>
      <c r="I43" s="568">
        <f>+'IT-STATEMENT-2017-2018'!U38</f>
        <v>0</v>
      </c>
    </row>
    <row r="44" spans="1:9" ht="12.75" customHeight="1">
      <c r="A44" s="1150"/>
      <c r="B44" s="274"/>
      <c r="C44" s="375">
        <v>9</v>
      </c>
      <c r="D44" s="1126" t="str">
        <f>+'IT-STATEMENT-2017-2018'!Q39</f>
        <v>Refund of loan for H.B.A.</v>
      </c>
      <c r="E44" s="1126"/>
      <c r="F44" s="1127"/>
      <c r="G44" s="1128"/>
      <c r="H44" s="1129"/>
      <c r="I44" s="568">
        <f>+'IT-STATEMENT-2017-2018'!U39</f>
        <v>0</v>
      </c>
    </row>
    <row r="45" spans="1:21" ht="12.75" customHeight="1">
      <c r="A45" s="276"/>
      <c r="B45" s="274"/>
      <c r="C45" s="277" t="s">
        <v>129</v>
      </c>
      <c r="D45" s="278" t="s">
        <v>154</v>
      </c>
      <c r="E45" s="278"/>
      <c r="F45" s="279"/>
      <c r="G45" s="1128"/>
      <c r="H45" s="1129"/>
      <c r="I45" s="569"/>
      <c r="S45" s="280"/>
      <c r="T45" s="280"/>
      <c r="U45" s="280"/>
    </row>
    <row r="46" spans="1:9" ht="12.75" customHeight="1" thickBot="1">
      <c r="A46" s="281"/>
      <c r="B46" s="282"/>
      <c r="C46" s="283" t="s">
        <v>131</v>
      </c>
      <c r="D46" s="284" t="s">
        <v>155</v>
      </c>
      <c r="E46" s="284"/>
      <c r="F46" s="285"/>
      <c r="G46" s="1132"/>
      <c r="H46" s="1133"/>
      <c r="I46" s="590"/>
    </row>
    <row r="47" spans="1:9" ht="24" customHeight="1" thickBot="1">
      <c r="A47" s="1134" t="s">
        <v>156</v>
      </c>
      <c r="B47" s="1135"/>
      <c r="C47" s="1135"/>
      <c r="D47" s="1135"/>
      <c r="E47" s="1135"/>
      <c r="F47" s="1135"/>
      <c r="G47" s="1135"/>
      <c r="H47" s="1135"/>
      <c r="I47" s="1136"/>
    </row>
    <row r="48" spans="10:18" ht="18" customHeight="1">
      <c r="J48" s="287" t="s">
        <v>157</v>
      </c>
      <c r="K48" s="288" t="s">
        <v>158</v>
      </c>
      <c r="L48" s="289"/>
      <c r="M48" s="289"/>
      <c r="N48" s="289"/>
      <c r="O48" s="289"/>
      <c r="P48" s="1110" t="s">
        <v>159</v>
      </c>
      <c r="Q48" s="1110" t="s">
        <v>160</v>
      </c>
      <c r="R48" s="1112" t="s">
        <v>161</v>
      </c>
    </row>
    <row r="49" spans="10:21" ht="18" customHeight="1" thickBot="1">
      <c r="J49" s="281"/>
      <c r="K49" s="291" t="s">
        <v>162</v>
      </c>
      <c r="L49" s="284"/>
      <c r="M49" s="284"/>
      <c r="N49" s="284"/>
      <c r="O49" s="285"/>
      <c r="P49" s="1111"/>
      <c r="Q49" s="1111"/>
      <c r="R49" s="1113"/>
      <c r="U49" s="292"/>
    </row>
    <row r="50" spans="10:21" ht="15.75" customHeight="1">
      <c r="J50" s="276"/>
      <c r="K50" s="266" t="s">
        <v>127</v>
      </c>
      <c r="L50" s="1130" t="s">
        <v>163</v>
      </c>
      <c r="M50" s="1130"/>
      <c r="N50" s="1130"/>
      <c r="O50" s="1131"/>
      <c r="P50" s="293"/>
      <c r="Q50" s="567"/>
      <c r="R50" s="568"/>
      <c r="U50" s="292"/>
    </row>
    <row r="51" spans="10:18" ht="15.75" customHeight="1">
      <c r="J51" s="276"/>
      <c r="K51" s="261" t="s">
        <v>129</v>
      </c>
      <c r="L51" s="1065" t="s">
        <v>164</v>
      </c>
      <c r="M51" s="1065"/>
      <c r="N51" s="1065"/>
      <c r="O51" s="1066"/>
      <c r="P51" s="257"/>
      <c r="Q51" s="558"/>
      <c r="R51" s="569"/>
    </row>
    <row r="52" spans="10:18" ht="15.75" customHeight="1">
      <c r="J52" s="276"/>
      <c r="K52" s="261" t="s">
        <v>131</v>
      </c>
      <c r="L52" s="1065" t="s">
        <v>164</v>
      </c>
      <c r="M52" s="1065"/>
      <c r="N52" s="1065"/>
      <c r="O52" s="1066"/>
      <c r="P52" s="257"/>
      <c r="Q52" s="558"/>
      <c r="R52" s="569"/>
    </row>
    <row r="53" spans="10:18" ht="15.75" customHeight="1">
      <c r="J53" s="276"/>
      <c r="K53" s="261" t="s">
        <v>133</v>
      </c>
      <c r="L53" s="1065" t="s">
        <v>164</v>
      </c>
      <c r="M53" s="1065"/>
      <c r="N53" s="1065"/>
      <c r="O53" s="1066"/>
      <c r="P53" s="257"/>
      <c r="Q53" s="558"/>
      <c r="R53" s="569"/>
    </row>
    <row r="54" spans="10:18" ht="15.75" customHeight="1" thickBot="1">
      <c r="J54" s="281"/>
      <c r="K54" s="294" t="s">
        <v>165</v>
      </c>
      <c r="L54" s="1090" t="s">
        <v>164</v>
      </c>
      <c r="M54" s="1090"/>
      <c r="N54" s="1090"/>
      <c r="O54" s="1091"/>
      <c r="P54" s="295"/>
      <c r="Q54" s="566"/>
      <c r="R54" s="570"/>
    </row>
    <row r="55" spans="10:18" ht="15.75" customHeight="1">
      <c r="J55" s="296" t="s">
        <v>166</v>
      </c>
      <c r="K55" s="297" t="s">
        <v>167</v>
      </c>
      <c r="L55" s="297"/>
      <c r="M55" s="297"/>
      <c r="N55" s="297"/>
      <c r="O55" s="297"/>
      <c r="P55" s="298"/>
      <c r="Q55" s="571" t="s">
        <v>86</v>
      </c>
      <c r="R55" s="572">
        <f>+'IT-STATEMENT-2017-2018'!U44</f>
        <v>0</v>
      </c>
    </row>
    <row r="56" spans="10:18" ht="15.75" customHeight="1">
      <c r="J56" s="299" t="s">
        <v>168</v>
      </c>
      <c r="K56" s="300" t="s">
        <v>169</v>
      </c>
      <c r="L56" s="301"/>
      <c r="M56" s="301"/>
      <c r="N56" s="301"/>
      <c r="O56" s="301"/>
      <c r="P56" s="302"/>
      <c r="Q56" s="573" t="s">
        <v>86</v>
      </c>
      <c r="R56" s="560">
        <f>+'IT-STATEMENT-2017-2018'!U45</f>
        <v>439140</v>
      </c>
    </row>
    <row r="57" spans="10:18" ht="15.75" customHeight="1">
      <c r="J57" s="260" t="s">
        <v>170</v>
      </c>
      <c r="K57" s="303" t="s">
        <v>171</v>
      </c>
      <c r="L57" s="278"/>
      <c r="M57" s="278"/>
      <c r="N57" s="278"/>
      <c r="O57" s="278"/>
      <c r="P57" s="304"/>
      <c r="Q57" s="573" t="s">
        <v>86</v>
      </c>
      <c r="R57" s="560">
        <f>+'IT-STATEMENT-2017-2018'!U54</f>
        <v>4457</v>
      </c>
    </row>
    <row r="58" spans="10:18" ht="15.75" customHeight="1">
      <c r="J58" s="260" t="s">
        <v>172</v>
      </c>
      <c r="K58" s="278" t="s">
        <v>173</v>
      </c>
      <c r="L58" s="278"/>
      <c r="M58" s="278"/>
      <c r="N58" s="278"/>
      <c r="O58" s="278"/>
      <c r="P58" s="304"/>
      <c r="Q58" s="573" t="s">
        <v>86</v>
      </c>
      <c r="R58" s="560">
        <v>0</v>
      </c>
    </row>
    <row r="59" spans="10:18" ht="15.75" customHeight="1">
      <c r="J59" s="305" t="s">
        <v>174</v>
      </c>
      <c r="K59" s="306" t="s">
        <v>175</v>
      </c>
      <c r="L59" s="301"/>
      <c r="M59" s="301"/>
      <c r="N59" s="301"/>
      <c r="O59" s="301"/>
      <c r="P59" s="304"/>
      <c r="Q59" s="573"/>
      <c r="R59" s="1108">
        <f>+'IT-STATEMENT-2017-2018'!U55</f>
        <v>134</v>
      </c>
    </row>
    <row r="60" spans="10:18" ht="15.75" customHeight="1">
      <c r="J60" s="307"/>
      <c r="K60" s="308" t="s">
        <v>176</v>
      </c>
      <c r="L60" s="309"/>
      <c r="M60" s="309"/>
      <c r="N60" s="309"/>
      <c r="O60" s="309"/>
      <c r="P60" s="304"/>
      <c r="Q60" s="573" t="s">
        <v>86</v>
      </c>
      <c r="R60" s="1109"/>
    </row>
    <row r="61" spans="10:18" ht="15.75" customHeight="1">
      <c r="J61" s="299" t="s">
        <v>177</v>
      </c>
      <c r="K61" s="301" t="s">
        <v>178</v>
      </c>
      <c r="L61" s="301"/>
      <c r="M61" s="301"/>
      <c r="N61" s="301"/>
      <c r="O61" s="301"/>
      <c r="P61" s="304"/>
      <c r="Q61" s="573" t="s">
        <v>86</v>
      </c>
      <c r="R61" s="560">
        <f>+'IT-STATEMENT-2017-2018'!U56</f>
        <v>4591</v>
      </c>
    </row>
    <row r="62" spans="10:18" ht="15.75" customHeight="1">
      <c r="J62" s="260" t="s">
        <v>179</v>
      </c>
      <c r="K62" s="278" t="s">
        <v>180</v>
      </c>
      <c r="L62" s="278"/>
      <c r="M62" s="278"/>
      <c r="N62" s="278"/>
      <c r="O62" s="278"/>
      <c r="P62" s="304"/>
      <c r="Q62" s="573" t="s">
        <v>86</v>
      </c>
      <c r="R62" s="560">
        <v>0</v>
      </c>
    </row>
    <row r="63" spans="10:18" ht="15.75" customHeight="1">
      <c r="J63" s="260" t="s">
        <v>181</v>
      </c>
      <c r="K63" s="278" t="s">
        <v>182</v>
      </c>
      <c r="L63" s="278"/>
      <c r="M63" s="278"/>
      <c r="N63" s="278"/>
      <c r="O63" s="278"/>
      <c r="P63" s="304"/>
      <c r="Q63" s="573" t="s">
        <v>86</v>
      </c>
      <c r="R63" s="560">
        <f>+'IT-STATEMENT-2017-2018'!U56</f>
        <v>4591</v>
      </c>
    </row>
    <row r="64" spans="10:18" ht="15.75" customHeight="1">
      <c r="J64" s="299" t="s">
        <v>183</v>
      </c>
      <c r="K64" s="310" t="s">
        <v>184</v>
      </c>
      <c r="L64" s="301"/>
      <c r="M64" s="301"/>
      <c r="N64" s="301"/>
      <c r="O64" s="301"/>
      <c r="P64" s="304"/>
      <c r="Q64" s="573" t="s">
        <v>86</v>
      </c>
      <c r="R64" s="560"/>
    </row>
    <row r="65" spans="10:18" ht="15.75" customHeight="1">
      <c r="J65" s="299"/>
      <c r="K65" s="311" t="s">
        <v>185</v>
      </c>
      <c r="L65" s="301"/>
      <c r="M65" s="301"/>
      <c r="N65" s="301"/>
      <c r="O65" s="301"/>
      <c r="P65" s="304"/>
      <c r="Q65" s="574"/>
      <c r="R65" s="1068" t="s">
        <v>307</v>
      </c>
    </row>
    <row r="66" spans="10:18" ht="15.75" customHeight="1">
      <c r="J66" s="307"/>
      <c r="K66" s="312" t="s">
        <v>186</v>
      </c>
      <c r="L66" s="309"/>
      <c r="M66" s="309"/>
      <c r="N66" s="309"/>
      <c r="O66" s="309"/>
      <c r="P66" s="304"/>
      <c r="Q66" s="573" t="s">
        <v>86</v>
      </c>
      <c r="R66" s="1069"/>
    </row>
    <row r="67" spans="10:18" ht="15.75" customHeight="1" thickBot="1">
      <c r="J67" s="313" t="s">
        <v>187</v>
      </c>
      <c r="K67" s="314" t="s">
        <v>188</v>
      </c>
      <c r="L67" s="284"/>
      <c r="M67" s="284"/>
      <c r="N67" s="284"/>
      <c r="O67" s="284"/>
      <c r="P67" s="315"/>
      <c r="Q67" s="575" t="s">
        <v>86</v>
      </c>
      <c r="R67" s="1070"/>
    </row>
    <row r="68" spans="10:18" ht="18" customHeight="1">
      <c r="J68" s="1092" t="s">
        <v>189</v>
      </c>
      <c r="K68" s="1093"/>
      <c r="L68" s="1093"/>
      <c r="M68" s="1093"/>
      <c r="N68" s="1093"/>
      <c r="O68" s="1093"/>
      <c r="P68" s="1094"/>
      <c r="Q68" s="1094"/>
      <c r="R68" s="1095"/>
    </row>
    <row r="69" spans="10:18" ht="14.25" customHeight="1" thickBot="1">
      <c r="J69" s="1096" t="s">
        <v>190</v>
      </c>
      <c r="K69" s="1097"/>
      <c r="L69" s="1097"/>
      <c r="M69" s="1097"/>
      <c r="N69" s="1097"/>
      <c r="O69" s="1097"/>
      <c r="P69" s="1097"/>
      <c r="Q69" s="1097"/>
      <c r="R69" s="1098"/>
    </row>
    <row r="70" spans="10:18" ht="57" customHeight="1" thickBot="1">
      <c r="J70" s="316" t="s">
        <v>191</v>
      </c>
      <c r="K70" s="290" t="s">
        <v>192</v>
      </c>
      <c r="L70" s="290" t="s">
        <v>193</v>
      </c>
      <c r="M70" s="290" t="s">
        <v>194</v>
      </c>
      <c r="N70" s="290" t="s">
        <v>195</v>
      </c>
      <c r="O70" s="290" t="s">
        <v>196</v>
      </c>
      <c r="P70" s="290" t="s">
        <v>197</v>
      </c>
      <c r="Q70" s="290" t="s">
        <v>198</v>
      </c>
      <c r="R70" s="317" t="s">
        <v>199</v>
      </c>
    </row>
    <row r="71" spans="10:18" ht="18" customHeight="1">
      <c r="J71" s="318" t="s">
        <v>200</v>
      </c>
      <c r="K71" s="554">
        <f>+'IT-STATEMENT-2017-2018'!U8</f>
        <v>0</v>
      </c>
      <c r="L71" s="319"/>
      <c r="M71" s="319"/>
      <c r="N71" s="319"/>
      <c r="O71" s="578">
        <f>+O116</f>
        <v>49000</v>
      </c>
      <c r="P71" s="579">
        <f>+P116</f>
        <v>0</v>
      </c>
      <c r="Q71" s="580">
        <f>+Q116</f>
        <v>0</v>
      </c>
      <c r="R71" s="581">
        <f>+R116</f>
        <v>0</v>
      </c>
    </row>
    <row r="72" spans="10:18" ht="18" customHeight="1">
      <c r="J72" s="320" t="s">
        <v>201</v>
      </c>
      <c r="K72" s="555">
        <f>+'IT-STATEMENT-2017-2018'!U9</f>
        <v>0</v>
      </c>
      <c r="L72" s="321"/>
      <c r="M72" s="321"/>
      <c r="N72" s="321"/>
      <c r="O72" s="582">
        <f aca="true" t="shared" si="0" ref="O72:R82">+O117</f>
        <v>129500</v>
      </c>
      <c r="P72" s="583">
        <f t="shared" si="0"/>
        <v>242465</v>
      </c>
      <c r="Q72" s="584" t="str">
        <f t="shared" si="0"/>
        <v>06.05.2016</v>
      </c>
      <c r="R72" s="585">
        <f t="shared" si="0"/>
        <v>3915</v>
      </c>
    </row>
    <row r="73" spans="10:18" ht="18" customHeight="1">
      <c r="J73" s="320" t="s">
        <v>202</v>
      </c>
      <c r="K73" s="555">
        <f>+'IT-STATEMENT-2017-2018'!U10</f>
        <v>0</v>
      </c>
      <c r="L73" s="321"/>
      <c r="M73" s="321"/>
      <c r="N73" s="321"/>
      <c r="O73" s="582">
        <f t="shared" si="0"/>
        <v>146500</v>
      </c>
      <c r="P73" s="583">
        <f t="shared" si="0"/>
        <v>242465</v>
      </c>
      <c r="Q73" s="584" t="str">
        <f t="shared" si="0"/>
        <v>07.06.2016</v>
      </c>
      <c r="R73" s="585">
        <f t="shared" si="0"/>
        <v>2472</v>
      </c>
    </row>
    <row r="74" spans="10:18" ht="18" customHeight="1">
      <c r="J74" s="320" t="s">
        <v>203</v>
      </c>
      <c r="K74" s="555">
        <f>+'IT-STATEMENT-2017-2018'!U11</f>
        <v>0</v>
      </c>
      <c r="L74" s="321"/>
      <c r="M74" s="321"/>
      <c r="N74" s="321"/>
      <c r="O74" s="582">
        <f t="shared" si="0"/>
        <v>182000</v>
      </c>
      <c r="P74" s="583">
        <f t="shared" si="0"/>
        <v>242465</v>
      </c>
      <c r="Q74" s="584" t="str">
        <f t="shared" si="0"/>
        <v>12.07.2016</v>
      </c>
      <c r="R74" s="585">
        <f t="shared" si="0"/>
        <v>432</v>
      </c>
    </row>
    <row r="75" spans="10:18" ht="18" customHeight="1">
      <c r="J75" s="320" t="s">
        <v>204</v>
      </c>
      <c r="K75" s="555">
        <f>+'IT-STATEMENT-2017-2018'!U12</f>
        <v>0</v>
      </c>
      <c r="L75" s="321"/>
      <c r="M75" s="321"/>
      <c r="N75" s="321"/>
      <c r="O75" s="582">
        <f t="shared" si="0"/>
        <v>206000</v>
      </c>
      <c r="P75" s="583">
        <f t="shared" si="0"/>
        <v>242465</v>
      </c>
      <c r="Q75" s="584" t="str">
        <f t="shared" si="0"/>
        <v>09.08.2016</v>
      </c>
      <c r="R75" s="585">
        <f t="shared" si="0"/>
        <v>1060</v>
      </c>
    </row>
    <row r="76" spans="10:21" ht="18" customHeight="1">
      <c r="J76" s="320" t="s">
        <v>205</v>
      </c>
      <c r="K76" s="555">
        <f>+'IT-STATEMENT-2017-2018'!U13</f>
        <v>0</v>
      </c>
      <c r="L76" s="321"/>
      <c r="M76" s="321"/>
      <c r="N76" s="321"/>
      <c r="O76" s="582">
        <f t="shared" si="0"/>
        <v>268375</v>
      </c>
      <c r="P76" s="583">
        <f t="shared" si="0"/>
        <v>242465</v>
      </c>
      <c r="Q76" s="584" t="str">
        <f t="shared" si="0"/>
        <v>07.09.2016</v>
      </c>
      <c r="R76" s="585">
        <f t="shared" si="0"/>
        <v>6594</v>
      </c>
      <c r="U76" s="322"/>
    </row>
    <row r="77" spans="10:18" ht="18" customHeight="1">
      <c r="J77" s="320" t="s">
        <v>206</v>
      </c>
      <c r="K77" s="555">
        <f>+'IT-STATEMENT-2017-2018'!U14</f>
        <v>0</v>
      </c>
      <c r="L77" s="321"/>
      <c r="M77" s="321"/>
      <c r="N77" s="321"/>
      <c r="O77" s="582">
        <f t="shared" si="0"/>
        <v>263500</v>
      </c>
      <c r="P77" s="583">
        <f t="shared" si="0"/>
        <v>242465</v>
      </c>
      <c r="Q77" s="584" t="str">
        <f t="shared" si="0"/>
        <v>07.10.2016</v>
      </c>
      <c r="R77" s="585">
        <f t="shared" si="0"/>
        <v>5223</v>
      </c>
    </row>
    <row r="78" spans="10:18" ht="18" customHeight="1">
      <c r="J78" s="320" t="s">
        <v>207</v>
      </c>
      <c r="K78" s="555">
        <f>+'IT-STATEMENT-2017-2018'!U15</f>
        <v>0</v>
      </c>
      <c r="L78" s="321"/>
      <c r="M78" s="321"/>
      <c r="N78" s="321"/>
      <c r="O78" s="582">
        <f t="shared" si="0"/>
        <v>0</v>
      </c>
      <c r="P78" s="583">
        <f t="shared" si="0"/>
        <v>242465</v>
      </c>
      <c r="Q78" s="584" t="str">
        <f t="shared" si="0"/>
        <v>05.11.2016</v>
      </c>
      <c r="R78" s="585">
        <f t="shared" si="0"/>
        <v>9415</v>
      </c>
    </row>
    <row r="79" spans="10:18" ht="18" customHeight="1">
      <c r="J79" s="320" t="s">
        <v>208</v>
      </c>
      <c r="K79" s="555">
        <f>+'IT-STATEMENT-2017-2018'!U16</f>
        <v>1200</v>
      </c>
      <c r="L79" s="321"/>
      <c r="M79" s="321"/>
      <c r="N79" s="321"/>
      <c r="O79" s="582">
        <f t="shared" si="0"/>
        <v>0</v>
      </c>
      <c r="P79" s="583">
        <f t="shared" si="0"/>
        <v>242465</v>
      </c>
      <c r="Q79" s="584" t="str">
        <f t="shared" si="0"/>
        <v>07.12.2016</v>
      </c>
      <c r="R79" s="585">
        <f t="shared" si="0"/>
        <v>9037</v>
      </c>
    </row>
    <row r="80" spans="10:18" ht="18" customHeight="1">
      <c r="J80" s="320" t="s">
        <v>209</v>
      </c>
      <c r="K80" s="555">
        <f>+'IT-STATEMENT-2017-2018'!U17</f>
        <v>1200</v>
      </c>
      <c r="L80" s="321"/>
      <c r="M80" s="321"/>
      <c r="N80" s="321"/>
      <c r="O80" s="582">
        <f t="shared" si="0"/>
        <v>0</v>
      </c>
      <c r="P80" s="583">
        <f t="shared" si="0"/>
        <v>242465</v>
      </c>
      <c r="Q80" s="584" t="str">
        <f t="shared" si="0"/>
        <v>07.01.2017</v>
      </c>
      <c r="R80" s="585">
        <f t="shared" si="0"/>
        <v>3167</v>
      </c>
    </row>
    <row r="81" spans="10:18" ht="18" customHeight="1">
      <c r="J81" s="320" t="s">
        <v>210</v>
      </c>
      <c r="K81" s="555">
        <f>+'IT-STATEMENT-2017-2018'!U18</f>
        <v>1100</v>
      </c>
      <c r="L81" s="321"/>
      <c r="M81" s="321"/>
      <c r="N81" s="321"/>
      <c r="O81" s="582">
        <f t="shared" si="0"/>
        <v>0</v>
      </c>
      <c r="P81" s="583">
        <f t="shared" si="0"/>
        <v>242465</v>
      </c>
      <c r="Q81" s="584" t="str">
        <f t="shared" si="0"/>
        <v>07.02.2017</v>
      </c>
      <c r="R81" s="585">
        <f t="shared" si="0"/>
        <v>5389</v>
      </c>
    </row>
    <row r="82" spans="10:18" ht="18" customHeight="1">
      <c r="J82" s="320" t="s">
        <v>211</v>
      </c>
      <c r="K82" s="555">
        <f>+'IT-STATEMENT-2017-2018'!U19</f>
        <v>1091</v>
      </c>
      <c r="L82" s="321"/>
      <c r="M82" s="321"/>
      <c r="N82" s="321"/>
      <c r="O82" s="582">
        <f t="shared" si="0"/>
        <v>0</v>
      </c>
      <c r="P82" s="583">
        <f t="shared" si="0"/>
        <v>242465</v>
      </c>
      <c r="Q82" s="584" t="str">
        <f t="shared" si="0"/>
        <v>07.03.2017</v>
      </c>
      <c r="R82" s="585">
        <f t="shared" si="0"/>
        <v>13594</v>
      </c>
    </row>
    <row r="83" spans="10:18" ht="18" customHeight="1">
      <c r="J83" s="323" t="s">
        <v>212</v>
      </c>
      <c r="K83" s="555"/>
      <c r="L83" s="321"/>
      <c r="M83" s="321"/>
      <c r="N83" s="321"/>
      <c r="O83" s="582"/>
      <c r="P83" s="583"/>
      <c r="Q83" s="584"/>
      <c r="R83" s="585"/>
    </row>
    <row r="84" spans="10:18" ht="18" customHeight="1" thickBot="1">
      <c r="J84" s="324" t="s">
        <v>3</v>
      </c>
      <c r="K84" s="553">
        <f>SUM(K71:K83)</f>
        <v>4591</v>
      </c>
      <c r="L84" s="325"/>
      <c r="M84" s="325"/>
      <c r="N84" s="325"/>
      <c r="O84" s="586">
        <f>+O129</f>
        <v>0</v>
      </c>
      <c r="P84" s="587">
        <f>+P129</f>
        <v>0</v>
      </c>
      <c r="Q84" s="588">
        <f>+Q129</f>
        <v>0</v>
      </c>
      <c r="R84" s="589">
        <f>+R129</f>
        <v>0</v>
      </c>
    </row>
    <row r="85" spans="10:18" ht="15" customHeight="1">
      <c r="J85" s="1099" t="str">
        <f>"               I, "&amp;+P133&amp;" son  of  "&amp;+P134&amp;","&amp;"woking in the capacity of  AAO/ADM/O&amp;M/EGMORE/CEDC/CHENNAI/TNEB do hereby certify that a sum of Rs. "&amp;+K84&amp;"/="&amp;" ( "&amp;+'IT-STATEMENT-2017-2018'!I63&amp;")"&amp;" has been deducted at source and paid to the credit of the Central Government,  I further certify that the information given above is true and correct based on the books of account, documents and other available records."</f>
        <v>               I, P.KOWSHIK son  of  K.PUSHPAVANAM,woking in the capacity of  AAO/ADM/O&amp;M/EGMORE/CEDC/CHENNAI/TNEB do hereby certify that a sum of Rs. 4591/= ( Rupees Four  Thousand Five hundred Ninety One Only) has been deducted at source and paid to the credit of the Central Government,  I further certify that the information given above is true and correct based on the books of account, documents and other available records.</v>
      </c>
      <c r="K85" s="1100"/>
      <c r="L85" s="1100"/>
      <c r="M85" s="1100"/>
      <c r="N85" s="1100"/>
      <c r="O85" s="1100"/>
      <c r="P85" s="1100"/>
      <c r="Q85" s="1100"/>
      <c r="R85" s="1101"/>
    </row>
    <row r="86" spans="10:18" ht="15.75" customHeight="1">
      <c r="J86" s="1102"/>
      <c r="K86" s="1103"/>
      <c r="L86" s="1103"/>
      <c r="M86" s="1103"/>
      <c r="N86" s="1103"/>
      <c r="O86" s="1103"/>
      <c r="P86" s="1103"/>
      <c r="Q86" s="1103"/>
      <c r="R86" s="1104"/>
    </row>
    <row r="87" spans="10:18" ht="15.75" customHeight="1">
      <c r="J87" s="1102"/>
      <c r="K87" s="1103"/>
      <c r="L87" s="1103"/>
      <c r="M87" s="1103"/>
      <c r="N87" s="1103"/>
      <c r="O87" s="1103"/>
      <c r="P87" s="1103"/>
      <c r="Q87" s="1103"/>
      <c r="R87" s="1104"/>
    </row>
    <row r="88" spans="10:18" ht="15.75" customHeight="1" thickBot="1">
      <c r="J88" s="1105"/>
      <c r="K88" s="1106"/>
      <c r="L88" s="1106"/>
      <c r="M88" s="1106"/>
      <c r="N88" s="1106"/>
      <c r="O88" s="1106"/>
      <c r="P88" s="1106"/>
      <c r="Q88" s="1106"/>
      <c r="R88" s="1107"/>
    </row>
    <row r="89" spans="10:18" ht="18" customHeight="1">
      <c r="J89" s="326"/>
      <c r="K89" s="327"/>
      <c r="L89" s="327"/>
      <c r="M89" s="327"/>
      <c r="N89" s="327"/>
      <c r="O89" s="327"/>
      <c r="P89" s="327"/>
      <c r="Q89" s="327"/>
      <c r="R89" s="328"/>
    </row>
    <row r="90" spans="10:18" ht="15" customHeight="1">
      <c r="J90" s="329"/>
      <c r="K90" s="292"/>
      <c r="L90" s="292"/>
      <c r="M90" s="292"/>
      <c r="N90" s="292"/>
      <c r="O90" s="1080" t="s">
        <v>215</v>
      </c>
      <c r="P90" s="1081"/>
      <c r="Q90" s="1081"/>
      <c r="R90" s="1082"/>
    </row>
    <row r="91" spans="10:18" ht="15" customHeight="1">
      <c r="J91" s="330" t="s">
        <v>216</v>
      </c>
      <c r="K91" s="300" t="s">
        <v>289</v>
      </c>
      <c r="L91" s="300"/>
      <c r="M91" s="301"/>
      <c r="N91" s="301"/>
      <c r="O91" s="576" t="str">
        <f>"Full Name  "&amp;+P133</f>
        <v>Full Name  P.KOWSHIK</v>
      </c>
      <c r="P91" s="300"/>
      <c r="Q91" s="300"/>
      <c r="R91" s="275"/>
    </row>
    <row r="92" spans="10:18" ht="15" customHeight="1" thickBot="1">
      <c r="J92" s="331" t="s">
        <v>218</v>
      </c>
      <c r="K92" s="577" t="str">
        <f>+P130</f>
        <v>12.04.2018</v>
      </c>
      <c r="L92" s="314"/>
      <c r="M92" s="284"/>
      <c r="N92" s="284"/>
      <c r="O92" s="577" t="s">
        <v>219</v>
      </c>
      <c r="P92" s="314"/>
      <c r="Q92" s="314"/>
      <c r="R92" s="286"/>
    </row>
    <row r="93" spans="10:18" ht="18" customHeight="1">
      <c r="J93" s="292"/>
      <c r="K93" s="292"/>
      <c r="L93" s="292"/>
      <c r="M93" s="292"/>
      <c r="N93" s="292"/>
      <c r="O93" s="292"/>
      <c r="P93" s="292"/>
      <c r="Q93" s="292"/>
      <c r="R93" s="292"/>
    </row>
    <row r="94" spans="15:18" ht="18" customHeight="1">
      <c r="O94" s="1067" t="s">
        <v>220</v>
      </c>
      <c r="P94" s="1067"/>
      <c r="Q94" s="1067"/>
      <c r="R94" s="550">
        <f>+'IT-STATEMENT-2017-2018'!U56</f>
        <v>4591</v>
      </c>
    </row>
    <row r="95" spans="15:18" ht="18" customHeight="1" thickBot="1">
      <c r="O95" s="1067" t="s">
        <v>221</v>
      </c>
      <c r="P95" s="1067"/>
      <c r="Q95" s="1067"/>
      <c r="R95" s="551">
        <f>+K84</f>
        <v>4591</v>
      </c>
    </row>
    <row r="96" ht="24.75" customHeight="1" thickBot="1" thickTop="1">
      <c r="R96" s="552">
        <f>+R94-R95</f>
        <v>0</v>
      </c>
    </row>
    <row r="97" ht="18" customHeight="1" thickTop="1"/>
    <row r="98" spans="10:18" ht="18" customHeight="1">
      <c r="J98" s="334"/>
      <c r="K98" s="335"/>
      <c r="L98" s="335"/>
      <c r="M98" s="335"/>
      <c r="N98" s="335"/>
      <c r="O98" s="335"/>
      <c r="P98" s="335"/>
      <c r="Q98" s="335"/>
      <c r="R98" s="335"/>
    </row>
    <row r="99" spans="10:18" ht="18" customHeight="1">
      <c r="J99" s="336"/>
      <c r="K99" s="292"/>
      <c r="L99" s="1063"/>
      <c r="M99" s="1064"/>
      <c r="N99" s="337"/>
      <c r="O99" s="338"/>
      <c r="P99" s="338"/>
      <c r="Q99" s="338"/>
      <c r="R99" s="338"/>
    </row>
    <row r="100" spans="10:18" ht="12.75" customHeight="1">
      <c r="J100" s="339"/>
      <c r="K100" s="339"/>
      <c r="L100" s="339"/>
      <c r="M100" s="339"/>
      <c r="N100" s="339"/>
      <c r="O100" s="339"/>
      <c r="P100" s="339"/>
      <c r="Q100" s="339"/>
      <c r="R100" s="339"/>
    </row>
    <row r="101" spans="10:18" s="370" customFormat="1" ht="18.75" customHeight="1" thickBot="1">
      <c r="J101" s="369"/>
      <c r="K101" s="369"/>
      <c r="L101" s="369"/>
      <c r="M101" s="369"/>
      <c r="N101" s="369"/>
      <c r="O101" s="369"/>
      <c r="P101" s="369"/>
      <c r="Q101" s="369"/>
      <c r="R101" s="369"/>
    </row>
    <row r="102" spans="10:19" ht="18" customHeight="1">
      <c r="J102" s="292"/>
      <c r="K102" s="292"/>
      <c r="L102" s="292"/>
      <c r="M102" s="292"/>
      <c r="N102" s="292"/>
      <c r="O102" s="326"/>
      <c r="P102" s="327"/>
      <c r="Q102" s="327"/>
      <c r="R102" s="327"/>
      <c r="S102" s="328"/>
    </row>
    <row r="103" spans="10:19" ht="18" customHeight="1" thickBot="1">
      <c r="J103" s="292"/>
      <c r="K103" s="292"/>
      <c r="L103" s="292"/>
      <c r="M103" s="292"/>
      <c r="N103" s="292"/>
      <c r="O103" s="329"/>
      <c r="P103" s="292"/>
      <c r="Q103" s="292"/>
      <c r="R103" s="292"/>
      <c r="S103" s="366"/>
    </row>
    <row r="104" spans="10:19" ht="18" customHeight="1" thickBot="1">
      <c r="J104" s="292"/>
      <c r="K104" s="292"/>
      <c r="L104" s="292"/>
      <c r="M104" s="292"/>
      <c r="N104" s="292"/>
      <c r="O104" s="1087" t="s">
        <v>110</v>
      </c>
      <c r="P104" s="1088"/>
      <c r="Q104" s="1088"/>
      <c r="R104" s="1088" t="s">
        <v>111</v>
      </c>
      <c r="S104" s="1089"/>
    </row>
    <row r="105" spans="10:19" ht="18" customHeight="1" thickBot="1">
      <c r="J105" s="339"/>
      <c r="K105" s="339"/>
      <c r="L105" s="339"/>
      <c r="M105" s="339"/>
      <c r="N105" s="339"/>
      <c r="O105" s="1114" t="s">
        <v>269</v>
      </c>
      <c r="P105" s="1115"/>
      <c r="Q105" s="1115"/>
      <c r="R105" s="1085" t="s">
        <v>325</v>
      </c>
      <c r="S105" s="1086"/>
    </row>
    <row r="106" spans="15:19" ht="18" customHeight="1">
      <c r="O106" s="1116" t="s">
        <v>113</v>
      </c>
      <c r="P106" s="1117"/>
      <c r="Q106" s="1117"/>
      <c r="R106" s="1117"/>
      <c r="S106" s="1118"/>
    </row>
    <row r="107" spans="15:19" ht="18" customHeight="1">
      <c r="O107" s="1119"/>
      <c r="P107" s="1120"/>
      <c r="Q107" s="1120"/>
      <c r="R107" s="1120"/>
      <c r="S107" s="1121"/>
    </row>
    <row r="108" spans="15:19" ht="18" customHeight="1">
      <c r="O108" s="1119"/>
      <c r="P108" s="1120"/>
      <c r="Q108" s="1120"/>
      <c r="R108" s="1120"/>
      <c r="S108" s="1121"/>
    </row>
    <row r="109" spans="15:19" ht="18" customHeight="1" thickBot="1">
      <c r="O109" s="1122"/>
      <c r="P109" s="1123"/>
      <c r="Q109" s="1123"/>
      <c r="R109" s="1123"/>
      <c r="S109" s="1124"/>
    </row>
    <row r="110" spans="15:19" ht="18" customHeight="1" thickBot="1">
      <c r="O110" s="1083" t="s">
        <v>116</v>
      </c>
      <c r="P110" s="1084"/>
      <c r="Q110" s="1084"/>
      <c r="R110" s="1084" t="s">
        <v>117</v>
      </c>
      <c r="S110" s="1125"/>
    </row>
    <row r="111" spans="15:19" ht="18" customHeight="1">
      <c r="O111" s="251" t="s">
        <v>120</v>
      </c>
      <c r="P111" s="1077"/>
      <c r="Q111" s="1077"/>
      <c r="R111" s="1078"/>
      <c r="S111" s="1079"/>
    </row>
    <row r="112" spans="15:19" ht="18" customHeight="1">
      <c r="O112" s="252" t="s">
        <v>121</v>
      </c>
      <c r="P112" s="1074"/>
      <c r="Q112" s="1074"/>
      <c r="R112" s="1075"/>
      <c r="S112" s="1076"/>
    </row>
    <row r="113" spans="10:19" ht="18" customHeight="1">
      <c r="J113" s="340"/>
      <c r="O113" s="252" t="s">
        <v>122</v>
      </c>
      <c r="P113" s="1074"/>
      <c r="Q113" s="1074"/>
      <c r="R113" s="1075"/>
      <c r="S113" s="1076"/>
    </row>
    <row r="114" spans="10:19" ht="18" customHeight="1" thickBot="1">
      <c r="J114" s="340"/>
      <c r="M114" s="341"/>
      <c r="O114" s="253" t="s">
        <v>123</v>
      </c>
      <c r="P114" s="1071"/>
      <c r="Q114" s="1071"/>
      <c r="R114" s="1072"/>
      <c r="S114" s="1073"/>
    </row>
    <row r="115" spans="10:26" ht="78.75" customHeight="1">
      <c r="J115" s="342"/>
      <c r="K115" s="338"/>
      <c r="L115" s="338"/>
      <c r="M115" s="353" t="s">
        <v>191</v>
      </c>
      <c r="N115" s="353" t="s">
        <v>271</v>
      </c>
      <c r="O115" s="353" t="s">
        <v>222</v>
      </c>
      <c r="P115" s="354" t="s">
        <v>197</v>
      </c>
      <c r="Q115" s="354" t="s">
        <v>198</v>
      </c>
      <c r="R115" s="355" t="s">
        <v>199</v>
      </c>
      <c r="S115" s="366"/>
      <c r="T115" s="292"/>
      <c r="U115" s="292"/>
      <c r="V115" s="292"/>
      <c r="W115" s="292"/>
      <c r="X115" s="292"/>
      <c r="Y115" s="292"/>
      <c r="Z115" s="292"/>
    </row>
    <row r="116" spans="10:26" ht="18" customHeight="1">
      <c r="J116" s="292"/>
      <c r="K116" s="292"/>
      <c r="L116" s="292"/>
      <c r="M116" s="356">
        <v>3</v>
      </c>
      <c r="N116" s="356">
        <f>+'IT-STATEMENT-2017-2018'!U8</f>
        <v>0</v>
      </c>
      <c r="O116" s="356">
        <v>49000</v>
      </c>
      <c r="P116" s="344">
        <v>0</v>
      </c>
      <c r="Q116" s="601"/>
      <c r="R116" s="346">
        <v>0</v>
      </c>
      <c r="S116" s="366"/>
      <c r="T116" s="292"/>
      <c r="U116" s="292"/>
      <c r="V116" s="292"/>
      <c r="W116" s="292"/>
      <c r="X116" s="292"/>
      <c r="Y116" s="292"/>
      <c r="Z116" s="292"/>
    </row>
    <row r="117" spans="10:26" ht="18" customHeight="1">
      <c r="J117" s="292"/>
      <c r="K117" s="292"/>
      <c r="L117" s="292"/>
      <c r="M117" s="343">
        <f>+M116+1</f>
        <v>4</v>
      </c>
      <c r="N117" s="356">
        <f>+'IT-STATEMENT-2017-2018'!U9</f>
        <v>0</v>
      </c>
      <c r="O117" s="343">
        <v>129500</v>
      </c>
      <c r="P117" s="344">
        <v>242465</v>
      </c>
      <c r="Q117" s="615" t="s">
        <v>314</v>
      </c>
      <c r="R117" s="346">
        <v>3915</v>
      </c>
      <c r="S117" s="366"/>
      <c r="T117" s="292"/>
      <c r="U117" s="292"/>
      <c r="V117" s="292"/>
      <c r="W117" s="292"/>
      <c r="X117" s="292"/>
      <c r="Y117" s="292"/>
      <c r="Z117" s="292"/>
    </row>
    <row r="118" spans="10:26" ht="18" customHeight="1">
      <c r="J118" s="292"/>
      <c r="K118" s="292"/>
      <c r="L118" s="292"/>
      <c r="M118" s="343">
        <f aca="true" t="shared" si="1" ref="M118:M127">+M117+1</f>
        <v>5</v>
      </c>
      <c r="N118" s="356">
        <f>+'IT-STATEMENT-2017-2018'!U10</f>
        <v>0</v>
      </c>
      <c r="O118" s="343">
        <v>146500</v>
      </c>
      <c r="P118" s="344">
        <v>242465</v>
      </c>
      <c r="Q118" s="615" t="s">
        <v>315</v>
      </c>
      <c r="R118" s="346">
        <v>2472</v>
      </c>
      <c r="S118" s="366"/>
      <c r="T118" s="292"/>
      <c r="U118" s="292"/>
      <c r="V118" s="292"/>
      <c r="W118" s="292"/>
      <c r="X118" s="292"/>
      <c r="Y118" s="292"/>
      <c r="Z118" s="292"/>
    </row>
    <row r="119" spans="10:26" ht="18" customHeight="1">
      <c r="J119" s="292"/>
      <c r="K119" s="292"/>
      <c r="L119" s="292"/>
      <c r="M119" s="343">
        <f t="shared" si="1"/>
        <v>6</v>
      </c>
      <c r="N119" s="356">
        <f>+'IT-STATEMENT-2017-2018'!U11</f>
        <v>0</v>
      </c>
      <c r="O119" s="343">
        <v>182000</v>
      </c>
      <c r="P119" s="344">
        <v>242465</v>
      </c>
      <c r="Q119" s="615" t="s">
        <v>316</v>
      </c>
      <c r="R119" s="346">
        <v>432</v>
      </c>
      <c r="S119" s="366"/>
      <c r="T119" s="292"/>
      <c r="U119" s="292"/>
      <c r="V119" s="292"/>
      <c r="W119" s="292"/>
      <c r="X119" s="292"/>
      <c r="Y119" s="292"/>
      <c r="Z119" s="292"/>
    </row>
    <row r="120" spans="10:26" ht="18" customHeight="1">
      <c r="J120" s="292"/>
      <c r="K120" s="292"/>
      <c r="L120" s="292"/>
      <c r="M120" s="343">
        <f t="shared" si="1"/>
        <v>7</v>
      </c>
      <c r="N120" s="356">
        <f>+'IT-STATEMENT-2017-2018'!U12</f>
        <v>0</v>
      </c>
      <c r="O120" s="343">
        <v>206000</v>
      </c>
      <c r="P120" s="344">
        <v>242465</v>
      </c>
      <c r="Q120" s="615" t="s">
        <v>317</v>
      </c>
      <c r="R120" s="346">
        <v>1060</v>
      </c>
      <c r="S120" s="366"/>
      <c r="T120" s="292"/>
      <c r="U120" s="292"/>
      <c r="V120" s="292"/>
      <c r="W120" s="292"/>
      <c r="X120" s="292"/>
      <c r="Y120" s="292"/>
      <c r="Z120" s="292"/>
    </row>
    <row r="121" spans="10:26" ht="18" customHeight="1">
      <c r="J121" s="292"/>
      <c r="K121" s="292"/>
      <c r="L121" s="292"/>
      <c r="M121" s="343">
        <f t="shared" si="1"/>
        <v>8</v>
      </c>
      <c r="N121" s="356">
        <f>+'IT-STATEMENT-2017-2018'!U13</f>
        <v>0</v>
      </c>
      <c r="O121" s="343">
        <v>268375</v>
      </c>
      <c r="P121" s="344">
        <v>242465</v>
      </c>
      <c r="Q121" s="615" t="s">
        <v>318</v>
      </c>
      <c r="R121" s="346">
        <v>6594</v>
      </c>
      <c r="S121" s="366"/>
      <c r="T121" s="292"/>
      <c r="U121" s="292"/>
      <c r="V121" s="292"/>
      <c r="W121" s="292"/>
      <c r="X121" s="292"/>
      <c r="Y121" s="292"/>
      <c r="Z121" s="292"/>
    </row>
    <row r="122" spans="10:26" ht="18" customHeight="1">
      <c r="J122" s="292"/>
      <c r="K122" s="292"/>
      <c r="L122" s="292"/>
      <c r="M122" s="343">
        <f t="shared" si="1"/>
        <v>9</v>
      </c>
      <c r="N122" s="356">
        <f>+'IT-STATEMENT-2017-2018'!U14</f>
        <v>0</v>
      </c>
      <c r="O122" s="343">
        <v>263500</v>
      </c>
      <c r="P122" s="344">
        <v>242465</v>
      </c>
      <c r="Q122" s="615" t="s">
        <v>319</v>
      </c>
      <c r="R122" s="346">
        <v>5223</v>
      </c>
      <c r="S122" s="366"/>
      <c r="T122" s="292"/>
      <c r="U122" s="292"/>
      <c r="V122" s="292"/>
      <c r="W122" s="292"/>
      <c r="X122" s="292"/>
      <c r="Y122" s="292"/>
      <c r="Z122" s="292"/>
    </row>
    <row r="123" spans="10:26" ht="18" customHeight="1">
      <c r="J123" s="292"/>
      <c r="K123" s="292"/>
      <c r="L123" s="292"/>
      <c r="M123" s="343">
        <f t="shared" si="1"/>
        <v>10</v>
      </c>
      <c r="N123" s="356">
        <f>+'IT-STATEMENT-2017-2018'!U15</f>
        <v>0</v>
      </c>
      <c r="O123" s="343"/>
      <c r="P123" s="344">
        <v>242465</v>
      </c>
      <c r="Q123" s="615" t="s">
        <v>320</v>
      </c>
      <c r="R123" s="346">
        <v>9415</v>
      </c>
      <c r="S123" s="366"/>
      <c r="T123" s="292"/>
      <c r="U123" s="292"/>
      <c r="V123" s="292"/>
      <c r="W123" s="292"/>
      <c r="X123" s="292"/>
      <c r="Y123" s="292"/>
      <c r="Z123" s="292"/>
    </row>
    <row r="124" spans="10:26" ht="18" customHeight="1">
      <c r="J124" s="292"/>
      <c r="K124" s="292"/>
      <c r="L124" s="292"/>
      <c r="M124" s="343">
        <f t="shared" si="1"/>
        <v>11</v>
      </c>
      <c r="N124" s="356">
        <f>+'IT-STATEMENT-2017-2018'!U16</f>
        <v>1200</v>
      </c>
      <c r="O124" s="347"/>
      <c r="P124" s="344">
        <v>242465</v>
      </c>
      <c r="Q124" s="615" t="s">
        <v>321</v>
      </c>
      <c r="R124" s="346">
        <v>9037</v>
      </c>
      <c r="S124" s="366"/>
      <c r="T124" s="292"/>
      <c r="U124" s="292"/>
      <c r="V124" s="292"/>
      <c r="W124" s="292"/>
      <c r="X124" s="292"/>
      <c r="Y124" s="292"/>
      <c r="Z124" s="292"/>
    </row>
    <row r="125" spans="10:26" ht="18" customHeight="1">
      <c r="J125" s="292"/>
      <c r="K125" s="292"/>
      <c r="L125" s="292"/>
      <c r="M125" s="343">
        <f t="shared" si="1"/>
        <v>12</v>
      </c>
      <c r="N125" s="356">
        <f>+'IT-STATEMENT-2017-2018'!U17</f>
        <v>1200</v>
      </c>
      <c r="O125" s="347"/>
      <c r="P125" s="344">
        <v>242465</v>
      </c>
      <c r="Q125" s="615" t="s">
        <v>322</v>
      </c>
      <c r="R125" s="346">
        <v>3167</v>
      </c>
      <c r="S125" s="366"/>
      <c r="T125" s="292"/>
      <c r="U125" s="292"/>
      <c r="V125" s="292"/>
      <c r="W125" s="292"/>
      <c r="X125" s="292"/>
      <c r="Y125" s="292"/>
      <c r="Z125" s="292"/>
    </row>
    <row r="126" spans="10:26" ht="18" customHeight="1">
      <c r="J126" s="292"/>
      <c r="K126" s="292"/>
      <c r="L126" s="292"/>
      <c r="M126" s="343">
        <v>1</v>
      </c>
      <c r="N126" s="356">
        <f>+'IT-STATEMENT-2017-2018'!U18</f>
        <v>1100</v>
      </c>
      <c r="O126" s="347"/>
      <c r="P126" s="344">
        <v>242465</v>
      </c>
      <c r="Q126" s="615" t="s">
        <v>323</v>
      </c>
      <c r="R126" s="346">
        <v>5389</v>
      </c>
      <c r="S126" s="366"/>
      <c r="T126" s="292"/>
      <c r="U126" s="292"/>
      <c r="V126" s="292"/>
      <c r="W126" s="292"/>
      <c r="X126" s="292"/>
      <c r="Y126" s="292"/>
      <c r="Z126" s="292"/>
    </row>
    <row r="127" spans="10:26" ht="18" customHeight="1">
      <c r="J127" s="292"/>
      <c r="K127" s="292"/>
      <c r="L127" s="292"/>
      <c r="M127" s="343">
        <f t="shared" si="1"/>
        <v>2</v>
      </c>
      <c r="N127" s="356">
        <f>+'IT-STATEMENT-2017-2018'!U19</f>
        <v>1091</v>
      </c>
      <c r="O127" s="347"/>
      <c r="P127" s="344">
        <v>242465</v>
      </c>
      <c r="Q127" s="615" t="s">
        <v>324</v>
      </c>
      <c r="R127" s="346">
        <v>13594</v>
      </c>
      <c r="S127" s="366"/>
      <c r="T127" s="292"/>
      <c r="U127" s="292"/>
      <c r="V127" s="292"/>
      <c r="W127" s="292"/>
      <c r="X127" s="292"/>
      <c r="Y127" s="292"/>
      <c r="Z127" s="292"/>
    </row>
    <row r="128" spans="10:26" ht="18" customHeight="1">
      <c r="J128" s="292"/>
      <c r="K128" s="292"/>
      <c r="L128" s="292"/>
      <c r="M128" s="292"/>
      <c r="N128" s="292"/>
      <c r="O128" s="343"/>
      <c r="P128" s="348"/>
      <c r="Q128" s="345"/>
      <c r="R128" s="346"/>
      <c r="S128" s="366"/>
      <c r="T128" s="292"/>
      <c r="U128" s="292"/>
      <c r="V128" s="292"/>
      <c r="W128" s="292"/>
      <c r="X128" s="292"/>
      <c r="Y128" s="292"/>
      <c r="Z128" s="292"/>
    </row>
    <row r="129" spans="10:26" ht="18" customHeight="1">
      <c r="J129" s="292"/>
      <c r="K129" s="292"/>
      <c r="L129" s="292"/>
      <c r="M129" s="292"/>
      <c r="N129" s="292"/>
      <c r="O129" s="343"/>
      <c r="P129" s="348"/>
      <c r="Q129" s="345"/>
      <c r="R129" s="346"/>
      <c r="S129" s="366"/>
      <c r="T129" s="292"/>
      <c r="U129" s="292"/>
      <c r="V129" s="292"/>
      <c r="W129" s="292"/>
      <c r="X129" s="292"/>
      <c r="Y129" s="292"/>
      <c r="Z129" s="292"/>
    </row>
    <row r="130" spans="10:26" ht="18" customHeight="1" thickBot="1">
      <c r="J130" s="292"/>
      <c r="K130" s="292"/>
      <c r="L130" s="292"/>
      <c r="M130" s="292"/>
      <c r="N130" s="292"/>
      <c r="O130" s="357" t="s">
        <v>218</v>
      </c>
      <c r="P130" s="609" t="s">
        <v>306</v>
      </c>
      <c r="Q130" s="349"/>
      <c r="R130" s="358"/>
      <c r="S130" s="366"/>
      <c r="T130" s="292"/>
      <c r="U130" s="292"/>
      <c r="V130" s="292"/>
      <c r="W130" s="292"/>
      <c r="X130" s="292"/>
      <c r="Y130" s="292"/>
      <c r="Z130" s="292"/>
    </row>
    <row r="131" spans="15:26" ht="18" customHeight="1">
      <c r="O131" s="359" t="s">
        <v>313</v>
      </c>
      <c r="P131" s="373" t="s">
        <v>286</v>
      </c>
      <c r="Q131" s="350"/>
      <c r="R131" s="360"/>
      <c r="S131" s="367"/>
      <c r="T131" s="372"/>
      <c r="U131" s="292"/>
      <c r="V131" s="292"/>
      <c r="W131" s="292"/>
      <c r="X131" s="292"/>
      <c r="Y131" s="292"/>
      <c r="Z131" s="292"/>
    </row>
    <row r="132" spans="15:26" ht="18" customHeight="1">
      <c r="O132" s="347"/>
      <c r="P132" s="349"/>
      <c r="Q132" s="349"/>
      <c r="R132" s="358"/>
      <c r="S132" s="366"/>
      <c r="T132" s="292"/>
      <c r="U132" s="292"/>
      <c r="V132" s="292"/>
      <c r="W132" s="292"/>
      <c r="X132" s="292"/>
      <c r="Y132" s="292"/>
      <c r="Z132" s="292"/>
    </row>
    <row r="133" spans="15:19" ht="18" customHeight="1">
      <c r="O133" s="361" t="s">
        <v>213</v>
      </c>
      <c r="P133" s="351" t="s">
        <v>287</v>
      </c>
      <c r="Q133" s="349"/>
      <c r="R133" s="358"/>
      <c r="S133" s="366"/>
    </row>
    <row r="134" spans="15:19" ht="18" customHeight="1" thickBot="1">
      <c r="O134" s="362" t="s">
        <v>214</v>
      </c>
      <c r="P134" s="363" t="s">
        <v>288</v>
      </c>
      <c r="Q134" s="364"/>
      <c r="R134" s="365"/>
      <c r="S134" s="368"/>
    </row>
    <row r="135" s="371" customFormat="1" ht="18" customHeight="1"/>
  </sheetData>
  <sheetProtection/>
  <mergeCells count="133">
    <mergeCell ref="A1:D1"/>
    <mergeCell ref="E1:I1"/>
    <mergeCell ref="A2:E2"/>
    <mergeCell ref="F2:I2"/>
    <mergeCell ref="A3:E3"/>
    <mergeCell ref="F3:I3"/>
    <mergeCell ref="F4:I4"/>
    <mergeCell ref="A5:E5"/>
    <mergeCell ref="F5:I5"/>
    <mergeCell ref="A7:C7"/>
    <mergeCell ref="D7:E7"/>
    <mergeCell ref="F7:I7"/>
    <mergeCell ref="A6:C6"/>
    <mergeCell ref="D6:E6"/>
    <mergeCell ref="F6:I6"/>
    <mergeCell ref="A4:E4"/>
    <mergeCell ref="A8:E11"/>
    <mergeCell ref="F8:G8"/>
    <mergeCell ref="H8:I8"/>
    <mergeCell ref="F9:G9"/>
    <mergeCell ref="H9:I11"/>
    <mergeCell ref="F10:G11"/>
    <mergeCell ref="A12:C12"/>
    <mergeCell ref="D12:E12"/>
    <mergeCell ref="F12:G12"/>
    <mergeCell ref="H12:I12"/>
    <mergeCell ref="B13:C13"/>
    <mergeCell ref="D13:E13"/>
    <mergeCell ref="F13:G13"/>
    <mergeCell ref="H13:I13"/>
    <mergeCell ref="C19:E19"/>
    <mergeCell ref="G19:H19"/>
    <mergeCell ref="B14:C14"/>
    <mergeCell ref="D14:E14"/>
    <mergeCell ref="F14:G14"/>
    <mergeCell ref="H14:I14"/>
    <mergeCell ref="B15:C15"/>
    <mergeCell ref="D15:E15"/>
    <mergeCell ref="F15:G15"/>
    <mergeCell ref="H15:I15"/>
    <mergeCell ref="B23:E23"/>
    <mergeCell ref="G23:H23"/>
    <mergeCell ref="B16:C16"/>
    <mergeCell ref="D16:E16"/>
    <mergeCell ref="F16:G16"/>
    <mergeCell ref="H16:I16"/>
    <mergeCell ref="A17:I17"/>
    <mergeCell ref="A18:A22"/>
    <mergeCell ref="B18:E18"/>
    <mergeCell ref="G18:H18"/>
    <mergeCell ref="C20:E20"/>
    <mergeCell ref="G20:H20"/>
    <mergeCell ref="C21:E21"/>
    <mergeCell ref="G21:H21"/>
    <mergeCell ref="C22:E22"/>
    <mergeCell ref="G22:H22"/>
    <mergeCell ref="B24:E24"/>
    <mergeCell ref="G24:H24"/>
    <mergeCell ref="B25:E25"/>
    <mergeCell ref="G25:H25"/>
    <mergeCell ref="C28:E28"/>
    <mergeCell ref="G28:H28"/>
    <mergeCell ref="C26:E26"/>
    <mergeCell ref="C27:E27"/>
    <mergeCell ref="G27:H27"/>
    <mergeCell ref="B30:E30"/>
    <mergeCell ref="G30:H30"/>
    <mergeCell ref="B29:E29"/>
    <mergeCell ref="G29:H29"/>
    <mergeCell ref="D37:F37"/>
    <mergeCell ref="G37:H37"/>
    <mergeCell ref="D36:F36"/>
    <mergeCell ref="G36:H36"/>
    <mergeCell ref="A33:A44"/>
    <mergeCell ref="B33:F33"/>
    <mergeCell ref="G33:H34"/>
    <mergeCell ref="G39:H39"/>
    <mergeCell ref="D40:F40"/>
    <mergeCell ref="G40:H40"/>
    <mergeCell ref="I33:I34"/>
    <mergeCell ref="C34:F34"/>
    <mergeCell ref="D35:F35"/>
    <mergeCell ref="G35:H35"/>
    <mergeCell ref="B31:E31"/>
    <mergeCell ref="G31:H31"/>
    <mergeCell ref="G32:H32"/>
    <mergeCell ref="G45:H45"/>
    <mergeCell ref="G46:H46"/>
    <mergeCell ref="A47:I47"/>
    <mergeCell ref="G38:H38"/>
    <mergeCell ref="G41:H41"/>
    <mergeCell ref="D42:F42"/>
    <mergeCell ref="D41:F41"/>
    <mergeCell ref="D39:F39"/>
    <mergeCell ref="G42:H42"/>
    <mergeCell ref="D38:F38"/>
    <mergeCell ref="O105:Q105"/>
    <mergeCell ref="O106:S109"/>
    <mergeCell ref="R110:S110"/>
    <mergeCell ref="D43:F43"/>
    <mergeCell ref="G43:H43"/>
    <mergeCell ref="L50:O50"/>
    <mergeCell ref="L51:O51"/>
    <mergeCell ref="L52:O52"/>
    <mergeCell ref="D44:F44"/>
    <mergeCell ref="G44:H44"/>
    <mergeCell ref="J68:R68"/>
    <mergeCell ref="J69:R69"/>
    <mergeCell ref="J85:R88"/>
    <mergeCell ref="R59:R60"/>
    <mergeCell ref="P48:P49"/>
    <mergeCell ref="Q48:Q49"/>
    <mergeCell ref="R48:R49"/>
    <mergeCell ref="O26:S26"/>
    <mergeCell ref="P112:Q112"/>
    <mergeCell ref="R112:S112"/>
    <mergeCell ref="O90:R90"/>
    <mergeCell ref="O110:Q110"/>
    <mergeCell ref="R105:S105"/>
    <mergeCell ref="O95:Q95"/>
    <mergeCell ref="O104:Q104"/>
    <mergeCell ref="R104:S104"/>
    <mergeCell ref="L54:O54"/>
    <mergeCell ref="L99:M99"/>
    <mergeCell ref="L53:O53"/>
    <mergeCell ref="O94:Q94"/>
    <mergeCell ref="R65:R67"/>
    <mergeCell ref="P114:Q114"/>
    <mergeCell ref="R114:S114"/>
    <mergeCell ref="P113:Q113"/>
    <mergeCell ref="R113:S113"/>
    <mergeCell ref="P111:Q111"/>
    <mergeCell ref="R111:S111"/>
  </mergeCells>
  <printOptions/>
  <pageMargins left="0.5" right="0.25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9.7109375" style="250" customWidth="1"/>
    <col min="2" max="2" width="7.8515625" style="250" customWidth="1"/>
    <col min="3" max="3" width="6.8515625" style="250" customWidth="1"/>
    <col min="4" max="4" width="16.7109375" style="250" customWidth="1"/>
    <col min="5" max="5" width="13.57421875" style="250" customWidth="1"/>
    <col min="6" max="6" width="14.7109375" style="250" customWidth="1"/>
    <col min="7" max="8" width="7.7109375" style="250" customWidth="1"/>
    <col min="9" max="9" width="24.7109375" style="250" customWidth="1"/>
    <col min="10" max="10" width="6.00390625" style="250" customWidth="1"/>
    <col min="11" max="13" width="9.140625" style="250" customWidth="1"/>
    <col min="14" max="14" width="10.7109375" style="250" customWidth="1"/>
    <col min="15" max="15" width="13.7109375" style="250" customWidth="1"/>
    <col min="16" max="17" width="10.7109375" style="250" customWidth="1"/>
    <col min="18" max="18" width="16.7109375" style="250" customWidth="1"/>
    <col min="19" max="19" width="9.140625" style="250" customWidth="1"/>
    <col min="20" max="20" width="23.00390625" style="250" customWidth="1"/>
    <col min="21" max="16384" width="9.140625" style="250" customWidth="1"/>
  </cols>
  <sheetData>
    <row r="1" spans="1:9" ht="49.5" customHeight="1" thickBot="1">
      <c r="A1" s="1219" t="s">
        <v>104</v>
      </c>
      <c r="B1" s="1220"/>
      <c r="C1" s="1220"/>
      <c r="D1" s="1220"/>
      <c r="E1" s="1221" t="s">
        <v>105</v>
      </c>
      <c r="F1" s="1222"/>
      <c r="G1" s="1222"/>
      <c r="H1" s="1222"/>
      <c r="I1" s="1223"/>
    </row>
    <row r="2" spans="1:9" ht="18" customHeight="1" thickBot="1">
      <c r="A2" s="1083" t="s">
        <v>106</v>
      </c>
      <c r="B2" s="1084"/>
      <c r="C2" s="1084"/>
      <c r="D2" s="1084"/>
      <c r="E2" s="1084"/>
      <c r="F2" s="1224" t="s">
        <v>107</v>
      </c>
      <c r="G2" s="1225"/>
      <c r="H2" s="1225"/>
      <c r="I2" s="1226"/>
    </row>
    <row r="3" spans="1:9" ht="18" customHeight="1" thickBot="1">
      <c r="A3" s="1211" t="str">
        <f>+P89</f>
        <v>ER.A.N.MURUGADASAN,B.E.,</v>
      </c>
      <c r="B3" s="1212"/>
      <c r="C3" s="1212"/>
      <c r="D3" s="1212"/>
      <c r="E3" s="1213"/>
      <c r="F3" s="1208">
        <f>+'FORM 16 -2017-2018'!F3:I3</f>
        <v>0</v>
      </c>
      <c r="G3" s="1209"/>
      <c r="H3" s="1209"/>
      <c r="I3" s="1210"/>
    </row>
    <row r="4" spans="1:9" ht="18" customHeight="1" thickBot="1">
      <c r="A4" s="1211" t="s">
        <v>108</v>
      </c>
      <c r="B4" s="1212"/>
      <c r="C4" s="1212"/>
      <c r="D4" s="1212"/>
      <c r="E4" s="1213"/>
      <c r="F4" s="1208">
        <f>+'FORM 16 -2017-2018'!F4:I4</f>
        <v>0</v>
      </c>
      <c r="G4" s="1209"/>
      <c r="H4" s="1209"/>
      <c r="I4" s="1210"/>
    </row>
    <row r="5" spans="1:9" ht="18" customHeight="1" thickBot="1">
      <c r="A5" s="1211" t="s">
        <v>109</v>
      </c>
      <c r="B5" s="1212"/>
      <c r="C5" s="1212"/>
      <c r="D5" s="1212"/>
      <c r="E5" s="1213"/>
      <c r="F5" s="1208">
        <f>+'FORM 16 -2017-2018'!F5:I5</f>
        <v>0</v>
      </c>
      <c r="G5" s="1209"/>
      <c r="H5" s="1209"/>
      <c r="I5" s="1210"/>
    </row>
    <row r="6" spans="1:9" ht="24" customHeight="1" thickBot="1">
      <c r="A6" s="1087" t="s">
        <v>110</v>
      </c>
      <c r="B6" s="1088"/>
      <c r="C6" s="1088"/>
      <c r="D6" s="1088" t="s">
        <v>111</v>
      </c>
      <c r="E6" s="1088"/>
      <c r="F6" s="1088" t="s">
        <v>112</v>
      </c>
      <c r="G6" s="1088"/>
      <c r="H6" s="1088"/>
      <c r="I6" s="1089"/>
    </row>
    <row r="7" spans="1:9" ht="18" customHeight="1" thickBot="1">
      <c r="A7" s="1214" t="str">
        <f>+O63</f>
        <v>AADCT4784E</v>
      </c>
      <c r="B7" s="1215"/>
      <c r="C7" s="1215"/>
      <c r="D7" s="1216" t="str">
        <f>+R63</f>
        <v>CHET11942A</v>
      </c>
      <c r="E7" s="1216"/>
      <c r="F7" s="1217">
        <f>+'FORM 16 -2017-2018'!F7:I7</f>
        <v>0</v>
      </c>
      <c r="G7" s="1217"/>
      <c r="H7" s="1217"/>
      <c r="I7" s="1218"/>
    </row>
    <row r="8" spans="1:9" ht="13.5" customHeight="1">
      <c r="A8" s="1116" t="s">
        <v>113</v>
      </c>
      <c r="B8" s="1117"/>
      <c r="C8" s="1117"/>
      <c r="D8" s="1117"/>
      <c r="E8" s="1118"/>
      <c r="F8" s="1198" t="s">
        <v>114</v>
      </c>
      <c r="G8" s="1199"/>
      <c r="H8" s="1199" t="s">
        <v>115</v>
      </c>
      <c r="I8" s="1200"/>
    </row>
    <row r="9" spans="1:9" ht="13.5" customHeight="1">
      <c r="A9" s="1119"/>
      <c r="B9" s="1120"/>
      <c r="C9" s="1120"/>
      <c r="D9" s="1120"/>
      <c r="E9" s="1121"/>
      <c r="F9" s="1201" t="str">
        <f>+'FORM 16 -2017-2018'!F9:G9</f>
        <v>2017-2018</v>
      </c>
      <c r="G9" s="1202"/>
      <c r="H9" s="1202" t="str">
        <f>+'FORM 16 -2017-2018'!H9:I11</f>
        <v>2018-2019</v>
      </c>
      <c r="I9" s="1203"/>
    </row>
    <row r="10" spans="1:9" ht="6.75" customHeight="1">
      <c r="A10" s="1119"/>
      <c r="B10" s="1120"/>
      <c r="C10" s="1120"/>
      <c r="D10" s="1120"/>
      <c r="E10" s="1121"/>
      <c r="F10" s="1266" t="str">
        <f>+'FORM 16 -2017-2018'!F10:G11</f>
        <v>(01.04.2017 to 31.03.2018)</v>
      </c>
      <c r="G10" s="1267"/>
      <c r="H10" s="1202"/>
      <c r="I10" s="1203"/>
    </row>
    <row r="11" spans="1:9" ht="6.75" customHeight="1" thickBot="1">
      <c r="A11" s="1122"/>
      <c r="B11" s="1123"/>
      <c r="C11" s="1123"/>
      <c r="D11" s="1123"/>
      <c r="E11" s="1124"/>
      <c r="F11" s="1155"/>
      <c r="G11" s="1268"/>
      <c r="H11" s="1204"/>
      <c r="I11" s="1205"/>
    </row>
    <row r="12" spans="1:9" ht="13.5" customHeight="1" thickBot="1">
      <c r="A12" s="1083" t="s">
        <v>116</v>
      </c>
      <c r="B12" s="1084"/>
      <c r="C12" s="1084"/>
      <c r="D12" s="1084" t="s">
        <v>117</v>
      </c>
      <c r="E12" s="1084"/>
      <c r="F12" s="1084" t="s">
        <v>118</v>
      </c>
      <c r="G12" s="1084"/>
      <c r="H12" s="1084" t="s">
        <v>119</v>
      </c>
      <c r="I12" s="1125"/>
    </row>
    <row r="13" spans="1:9" ht="13.5" customHeight="1" thickBot="1">
      <c r="A13" s="251" t="s">
        <v>120</v>
      </c>
      <c r="B13" s="1192">
        <f>+'FORM 16 -2017-2018'!B13:C13</f>
        <v>0</v>
      </c>
      <c r="C13" s="1192"/>
      <c r="D13" s="1193">
        <f>+'FORM 16 -2017-2018'!D13:E13</f>
        <v>0</v>
      </c>
      <c r="E13" s="1194"/>
      <c r="F13" s="1263" t="str">
        <f>+'FORM 16 -2017-2018'!F13:G18</f>
        <v>04/2017</v>
      </c>
      <c r="G13" s="1264"/>
      <c r="H13" s="1263" t="str">
        <f>+'FORM 16 -2017-2018'!H13:I13</f>
        <v>06/2017</v>
      </c>
      <c r="I13" s="1265"/>
    </row>
    <row r="14" spans="1:9" ht="13.5" customHeight="1" thickBot="1">
      <c r="A14" s="252" t="s">
        <v>121</v>
      </c>
      <c r="B14" s="1192">
        <f>+'FORM 16 -2017-2018'!B14:C14</f>
        <v>0</v>
      </c>
      <c r="C14" s="1192"/>
      <c r="D14" s="1193">
        <f>+'FORM 16 -2017-2018'!D14:E14</f>
        <v>0</v>
      </c>
      <c r="E14" s="1194"/>
      <c r="F14" s="1263" t="str">
        <f>+'FORM 16 -2017-2018'!F14:G14</f>
        <v>07/2017</v>
      </c>
      <c r="G14" s="1264"/>
      <c r="H14" s="1263" t="str">
        <f>+'FORM 16 -2017-2018'!H14:I14</f>
        <v>09/2017</v>
      </c>
      <c r="I14" s="1265"/>
    </row>
    <row r="15" spans="1:9" ht="13.5" customHeight="1" thickBot="1">
      <c r="A15" s="252" t="s">
        <v>122</v>
      </c>
      <c r="B15" s="1192">
        <f>+'FORM 16 -2017-2018'!B15:C15</f>
        <v>0</v>
      </c>
      <c r="C15" s="1192"/>
      <c r="D15" s="1193">
        <f>+'FORM 16 -2017-2018'!D15:E15</f>
        <v>0</v>
      </c>
      <c r="E15" s="1194"/>
      <c r="F15" s="1263" t="str">
        <f>+'FORM 16 -2017-2018'!F15:G15</f>
        <v>10/2017</v>
      </c>
      <c r="G15" s="1264"/>
      <c r="H15" s="1263" t="str">
        <f>+'FORM 16 -2017-2018'!H15:I15</f>
        <v>12/2017</v>
      </c>
      <c r="I15" s="1265"/>
    </row>
    <row r="16" spans="1:9" ht="13.5" customHeight="1" thickBot="1">
      <c r="A16" s="253" t="s">
        <v>123</v>
      </c>
      <c r="B16" s="1249">
        <f>+'FORM 16 -2017-2018'!B16:C16</f>
        <v>0</v>
      </c>
      <c r="C16" s="1249"/>
      <c r="D16" s="1250">
        <f>+'FORM 16 -2017-2018'!D16:E16</f>
        <v>0</v>
      </c>
      <c r="E16" s="1251"/>
      <c r="F16" s="1252" t="str">
        <f>+'FORM 16 -2017-2018'!F16:G16</f>
        <v>01/2018</v>
      </c>
      <c r="G16" s="1253"/>
      <c r="H16" s="1252" t="str">
        <f>+'FORM 16 -2017-2018'!H16:I16</f>
        <v>03/2018</v>
      </c>
      <c r="I16" s="1254"/>
    </row>
    <row r="17" spans="1:9" ht="18" customHeight="1">
      <c r="A17" s="1092" t="s">
        <v>189</v>
      </c>
      <c r="B17" s="1093"/>
      <c r="C17" s="1093"/>
      <c r="D17" s="1093"/>
      <c r="E17" s="1093"/>
      <c r="F17" s="1093"/>
      <c r="G17" s="1093"/>
      <c r="H17" s="1093"/>
      <c r="I17" s="1255"/>
    </row>
    <row r="18" spans="1:9" ht="14.25" customHeight="1" thickBot="1">
      <c r="A18" s="1256" t="s">
        <v>246</v>
      </c>
      <c r="B18" s="1257"/>
      <c r="C18" s="1257"/>
      <c r="D18" s="1257"/>
      <c r="E18" s="1257"/>
      <c r="F18" s="1257"/>
      <c r="G18" s="1257"/>
      <c r="H18" s="1257"/>
      <c r="I18" s="1258"/>
    </row>
    <row r="19" spans="1:9" ht="16.5" customHeight="1" thickBot="1">
      <c r="A19" s="1259" t="s">
        <v>247</v>
      </c>
      <c r="B19" s="1261" t="s">
        <v>248</v>
      </c>
      <c r="C19" s="1261"/>
      <c r="D19" s="1239" t="s">
        <v>249</v>
      </c>
      <c r="E19" s="1239"/>
      <c r="F19" s="1239"/>
      <c r="G19" s="1239"/>
      <c r="H19" s="1239"/>
      <c r="I19" s="1240"/>
    </row>
    <row r="20" spans="1:9" ht="40.5" customHeight="1" thickBot="1">
      <c r="A20" s="1260"/>
      <c r="B20" s="1262"/>
      <c r="C20" s="1262"/>
      <c r="D20" s="539" t="s">
        <v>250</v>
      </c>
      <c r="E20" s="540" t="s">
        <v>251</v>
      </c>
      <c r="F20" s="540" t="s">
        <v>252</v>
      </c>
      <c r="G20" s="1241" t="s">
        <v>253</v>
      </c>
      <c r="H20" s="1242"/>
      <c r="I20" s="1243"/>
    </row>
    <row r="21" spans="1:9" ht="18" customHeight="1">
      <c r="A21" s="541" t="s">
        <v>210</v>
      </c>
      <c r="B21" s="1244">
        <f>+N74</f>
        <v>0</v>
      </c>
      <c r="C21" s="1245"/>
      <c r="D21" s="591">
        <f aca="true" t="shared" si="0" ref="D21:F32">+P74</f>
        <v>0</v>
      </c>
      <c r="E21" s="592">
        <f t="shared" si="0"/>
        <v>0</v>
      </c>
      <c r="F21" s="593">
        <f>+R74</f>
        <v>0</v>
      </c>
      <c r="G21" s="1246"/>
      <c r="H21" s="1247"/>
      <c r="I21" s="1248"/>
    </row>
    <row r="22" spans="1:9" ht="18" customHeight="1">
      <c r="A22" s="320" t="s">
        <v>211</v>
      </c>
      <c r="B22" s="1235">
        <f>+N75</f>
        <v>0</v>
      </c>
      <c r="C22" s="1236"/>
      <c r="D22" s="594">
        <f t="shared" si="0"/>
        <v>242465</v>
      </c>
      <c r="E22" s="584" t="str">
        <f t="shared" si="0"/>
        <v>06.05.2016</v>
      </c>
      <c r="F22" s="593">
        <f t="shared" si="0"/>
        <v>3915</v>
      </c>
      <c r="G22" s="1237"/>
      <c r="H22" s="1237"/>
      <c r="I22" s="1238"/>
    </row>
    <row r="23" spans="1:9" ht="18" customHeight="1">
      <c r="A23" s="320" t="s">
        <v>200</v>
      </c>
      <c r="B23" s="1235">
        <f aca="true" t="shared" si="1" ref="B23:B32">+N76</f>
        <v>0</v>
      </c>
      <c r="C23" s="1236"/>
      <c r="D23" s="594">
        <f t="shared" si="0"/>
        <v>242465</v>
      </c>
      <c r="E23" s="584" t="str">
        <f t="shared" si="0"/>
        <v>07.06.2016</v>
      </c>
      <c r="F23" s="593">
        <f t="shared" si="0"/>
        <v>2472</v>
      </c>
      <c r="G23" s="1237"/>
      <c r="H23" s="1237"/>
      <c r="I23" s="1238"/>
    </row>
    <row r="24" spans="1:9" ht="18" customHeight="1">
      <c r="A24" s="320" t="s">
        <v>201</v>
      </c>
      <c r="B24" s="1235">
        <f t="shared" si="1"/>
        <v>0</v>
      </c>
      <c r="C24" s="1236"/>
      <c r="D24" s="594">
        <f t="shared" si="0"/>
        <v>242465</v>
      </c>
      <c r="E24" s="584" t="str">
        <f t="shared" si="0"/>
        <v>12.07.2016</v>
      </c>
      <c r="F24" s="593">
        <f t="shared" si="0"/>
        <v>432</v>
      </c>
      <c r="G24" s="1237"/>
      <c r="H24" s="1237"/>
      <c r="I24" s="1238"/>
    </row>
    <row r="25" spans="1:9" ht="18" customHeight="1">
      <c r="A25" s="320" t="s">
        <v>202</v>
      </c>
      <c r="B25" s="1235">
        <f t="shared" si="1"/>
        <v>0</v>
      </c>
      <c r="C25" s="1236"/>
      <c r="D25" s="594">
        <f t="shared" si="0"/>
        <v>242465</v>
      </c>
      <c r="E25" s="584" t="s">
        <v>254</v>
      </c>
      <c r="F25" s="593">
        <f t="shared" si="0"/>
        <v>1060</v>
      </c>
      <c r="G25" s="1237"/>
      <c r="H25" s="1237"/>
      <c r="I25" s="1238"/>
    </row>
    <row r="26" spans="1:21" ht="18" customHeight="1">
      <c r="A26" s="320" t="s">
        <v>203</v>
      </c>
      <c r="B26" s="1235">
        <f t="shared" si="1"/>
        <v>0</v>
      </c>
      <c r="C26" s="1236"/>
      <c r="D26" s="594">
        <f t="shared" si="0"/>
        <v>242465</v>
      </c>
      <c r="E26" s="584" t="str">
        <f t="shared" si="0"/>
        <v>07.09.2016</v>
      </c>
      <c r="F26" s="593">
        <f t="shared" si="0"/>
        <v>6594</v>
      </c>
      <c r="G26" s="1237"/>
      <c r="H26" s="1237"/>
      <c r="I26" s="1238"/>
      <c r="U26" s="322"/>
    </row>
    <row r="27" spans="1:9" ht="18" customHeight="1">
      <c r="A27" s="320" t="s">
        <v>204</v>
      </c>
      <c r="B27" s="1235">
        <f t="shared" si="1"/>
        <v>0</v>
      </c>
      <c r="C27" s="1236"/>
      <c r="D27" s="594">
        <f t="shared" si="0"/>
        <v>242465</v>
      </c>
      <c r="E27" s="584" t="str">
        <f t="shared" si="0"/>
        <v>07.10.2016</v>
      </c>
      <c r="F27" s="593">
        <f t="shared" si="0"/>
        <v>5223</v>
      </c>
      <c r="G27" s="1237"/>
      <c r="H27" s="1237"/>
      <c r="I27" s="1238"/>
    </row>
    <row r="28" spans="1:9" ht="18" customHeight="1">
      <c r="A28" s="320" t="s">
        <v>205</v>
      </c>
      <c r="B28" s="1235">
        <f t="shared" si="1"/>
        <v>0</v>
      </c>
      <c r="C28" s="1236"/>
      <c r="D28" s="594">
        <f t="shared" si="0"/>
        <v>242465</v>
      </c>
      <c r="E28" s="584" t="str">
        <f t="shared" si="0"/>
        <v>05.11.2016</v>
      </c>
      <c r="F28" s="593">
        <f t="shared" si="0"/>
        <v>9415</v>
      </c>
      <c r="G28" s="1237"/>
      <c r="H28" s="1237"/>
      <c r="I28" s="1238"/>
    </row>
    <row r="29" spans="1:9" ht="18" customHeight="1">
      <c r="A29" s="320" t="s">
        <v>206</v>
      </c>
      <c r="B29" s="1235">
        <f t="shared" si="1"/>
        <v>1200</v>
      </c>
      <c r="C29" s="1236"/>
      <c r="D29" s="583">
        <f t="shared" si="0"/>
        <v>242465</v>
      </c>
      <c r="E29" s="584" t="str">
        <f t="shared" si="0"/>
        <v>07.12.2016</v>
      </c>
      <c r="F29" s="593">
        <f t="shared" si="0"/>
        <v>9037</v>
      </c>
      <c r="G29" s="1237"/>
      <c r="H29" s="1237"/>
      <c r="I29" s="1238"/>
    </row>
    <row r="30" spans="1:9" ht="18" customHeight="1">
      <c r="A30" s="320" t="s">
        <v>207</v>
      </c>
      <c r="B30" s="1235">
        <f t="shared" si="1"/>
        <v>1200</v>
      </c>
      <c r="C30" s="1236"/>
      <c r="D30" s="583">
        <f t="shared" si="0"/>
        <v>242465</v>
      </c>
      <c r="E30" s="584" t="str">
        <f t="shared" si="0"/>
        <v>07.01.2017</v>
      </c>
      <c r="F30" s="593">
        <f t="shared" si="0"/>
        <v>3167</v>
      </c>
      <c r="G30" s="1237"/>
      <c r="H30" s="1237"/>
      <c r="I30" s="1238"/>
    </row>
    <row r="31" spans="1:9" ht="18" customHeight="1">
      <c r="A31" s="320" t="s">
        <v>208</v>
      </c>
      <c r="B31" s="1235">
        <f t="shared" si="1"/>
        <v>1100</v>
      </c>
      <c r="C31" s="1236"/>
      <c r="D31" s="583">
        <f t="shared" si="0"/>
        <v>242465</v>
      </c>
      <c r="E31" s="584" t="str">
        <f t="shared" si="0"/>
        <v>07.02.2017</v>
      </c>
      <c r="F31" s="593">
        <f t="shared" si="0"/>
        <v>5389</v>
      </c>
      <c r="G31" s="1237"/>
      <c r="H31" s="1237"/>
      <c r="I31" s="1238"/>
    </row>
    <row r="32" spans="1:9" ht="18" customHeight="1">
      <c r="A32" s="320" t="s">
        <v>209</v>
      </c>
      <c r="B32" s="1235">
        <f t="shared" si="1"/>
        <v>1091</v>
      </c>
      <c r="C32" s="1236"/>
      <c r="D32" s="583">
        <f t="shared" si="0"/>
        <v>242465</v>
      </c>
      <c r="E32" s="584" t="str">
        <f t="shared" si="0"/>
        <v>07.03.2017</v>
      </c>
      <c r="F32" s="593">
        <f t="shared" si="0"/>
        <v>13594</v>
      </c>
      <c r="G32" s="1237"/>
      <c r="H32" s="1237"/>
      <c r="I32" s="1238"/>
    </row>
    <row r="33" spans="1:9" ht="18" customHeight="1" thickBot="1">
      <c r="A33" s="542"/>
      <c r="B33" s="1227"/>
      <c r="C33" s="1228"/>
      <c r="D33" s="595"/>
      <c r="E33" s="595"/>
      <c r="F33" s="596"/>
      <c r="G33" s="1229"/>
      <c r="H33" s="1229"/>
      <c r="I33" s="1230"/>
    </row>
    <row r="34" spans="1:12" ht="18" customHeight="1" thickBot="1">
      <c r="A34" s="543" t="s">
        <v>255</v>
      </c>
      <c r="B34" s="1231">
        <f>SUM(B21:B33)</f>
        <v>4591</v>
      </c>
      <c r="C34" s="1232"/>
      <c r="D34" s="544"/>
      <c r="E34" s="544"/>
      <c r="F34" s="545"/>
      <c r="G34" s="1233"/>
      <c r="H34" s="1233"/>
      <c r="I34" s="1234"/>
      <c r="L34" s="250" t="e">
        <f>[2]!NUM2TEXT(+B34)</f>
        <v>#NAME?</v>
      </c>
    </row>
    <row r="35" spans="1:9" ht="15" customHeight="1">
      <c r="A35" s="1102" t="e">
        <f>"               I, "&amp;+P91&amp;",  Daughter  of  "&amp;+P92&amp;","&amp;"woking in the capacity of  AAO/ADM/EGMORE/CEDC/CENTRAL/TNEB do hereby certify that a sum of Rs. "&amp;+B34&amp;"/="&amp;" ( "&amp;+L34&amp;")"&amp;" has been deducted and deposited to the credit of the Central Government,  I further certify that the information given above is true and correct based on the books of account, documents and TDS statements TDS deposited and other available records."</f>
        <v>#NAME?</v>
      </c>
      <c r="B35" s="1103"/>
      <c r="C35" s="1103"/>
      <c r="D35" s="1103"/>
      <c r="E35" s="1103"/>
      <c r="F35" s="1103"/>
      <c r="G35" s="1103"/>
      <c r="H35" s="1103"/>
      <c r="I35" s="1104"/>
    </row>
    <row r="36" spans="1:9" ht="15.75" customHeight="1">
      <c r="A36" s="1102"/>
      <c r="B36" s="1103"/>
      <c r="C36" s="1103"/>
      <c r="D36" s="1103"/>
      <c r="E36" s="1103"/>
      <c r="F36" s="1103"/>
      <c r="G36" s="1103"/>
      <c r="H36" s="1103"/>
      <c r="I36" s="1104"/>
    </row>
    <row r="37" spans="1:9" ht="15.75" customHeight="1">
      <c r="A37" s="1102"/>
      <c r="B37" s="1103"/>
      <c r="C37" s="1103"/>
      <c r="D37" s="1103"/>
      <c r="E37" s="1103"/>
      <c r="F37" s="1103"/>
      <c r="G37" s="1103"/>
      <c r="H37" s="1103"/>
      <c r="I37" s="1104"/>
    </row>
    <row r="38" spans="1:9" ht="15.75" customHeight="1" thickBot="1">
      <c r="A38" s="1105"/>
      <c r="B38" s="1106"/>
      <c r="C38" s="1106"/>
      <c r="D38" s="1106"/>
      <c r="E38" s="1106"/>
      <c r="F38" s="1106"/>
      <c r="G38" s="1106"/>
      <c r="H38" s="1106"/>
      <c r="I38" s="1107"/>
    </row>
    <row r="39" spans="1:9" ht="18" customHeight="1">
      <c r="A39" s="326"/>
      <c r="B39" s="327"/>
      <c r="C39" s="327"/>
      <c r="D39" s="327"/>
      <c r="E39" s="327"/>
      <c r="F39" s="327"/>
      <c r="G39" s="327"/>
      <c r="H39" s="327"/>
      <c r="I39" s="328"/>
    </row>
    <row r="40" spans="1:9" ht="15" customHeight="1">
      <c r="A40" s="329"/>
      <c r="B40" s="292"/>
      <c r="C40" s="292"/>
      <c r="D40" s="292"/>
      <c r="E40" s="292"/>
      <c r="F40" s="1080" t="s">
        <v>215</v>
      </c>
      <c r="G40" s="1081"/>
      <c r="H40" s="1081"/>
      <c r="I40" s="1082"/>
    </row>
    <row r="41" spans="1:9" ht="15" customHeight="1">
      <c r="A41" s="330" t="s">
        <v>216</v>
      </c>
      <c r="B41" s="300" t="s">
        <v>217</v>
      </c>
      <c r="C41" s="300"/>
      <c r="D41" s="301"/>
      <c r="E41" s="301"/>
      <c r="F41" s="576" t="str">
        <f>"Full Name  "&amp;+P91</f>
        <v>Full Name  P.KOWSHIK</v>
      </c>
      <c r="G41" s="300"/>
      <c r="H41" s="300"/>
      <c r="I41" s="275"/>
    </row>
    <row r="42" spans="1:9" ht="15" customHeight="1" thickBot="1">
      <c r="A42" s="331" t="s">
        <v>218</v>
      </c>
      <c r="B42" s="577" t="str">
        <f>+P88</f>
        <v>12.04.2018</v>
      </c>
      <c r="C42" s="314"/>
      <c r="D42" s="284"/>
      <c r="E42" s="284"/>
      <c r="F42" s="314" t="s">
        <v>256</v>
      </c>
      <c r="G42" s="314"/>
      <c r="H42" s="314"/>
      <c r="I42" s="286"/>
    </row>
    <row r="43" spans="1:9" ht="15" customHeight="1">
      <c r="A43" s="300"/>
      <c r="B43" s="300"/>
      <c r="C43" s="300"/>
      <c r="D43" s="301"/>
      <c r="E43" s="301"/>
      <c r="F43" s="300"/>
      <c r="G43" s="300"/>
      <c r="H43" s="300"/>
      <c r="I43" s="301"/>
    </row>
    <row r="44" spans="1:12" ht="15" customHeight="1">
      <c r="A44" s="546" t="s">
        <v>257</v>
      </c>
      <c r="B44" s="546"/>
      <c r="C44" s="546"/>
      <c r="D44" s="547"/>
      <c r="E44" s="547"/>
      <c r="F44" s="546"/>
      <c r="G44" s="546"/>
      <c r="H44" s="546"/>
      <c r="I44" s="547"/>
      <c r="J44" s="548"/>
      <c r="K44" s="548"/>
      <c r="L44" s="548"/>
    </row>
    <row r="45" spans="1:12" ht="15" customHeight="1">
      <c r="A45" s="546" t="s">
        <v>258</v>
      </c>
      <c r="B45" s="546"/>
      <c r="C45" s="546"/>
      <c r="D45" s="547"/>
      <c r="E45" s="547"/>
      <c r="F45" s="546"/>
      <c r="G45" s="546"/>
      <c r="H45" s="546"/>
      <c r="I45" s="547"/>
      <c r="J45" s="548"/>
      <c r="K45" s="548"/>
      <c r="L45" s="548"/>
    </row>
    <row r="46" spans="1:12" ht="15" customHeight="1">
      <c r="A46" s="547" t="s">
        <v>259</v>
      </c>
      <c r="B46" s="546"/>
      <c r="C46" s="546"/>
      <c r="D46" s="547"/>
      <c r="E46" s="547"/>
      <c r="F46" s="546"/>
      <c r="G46" s="546"/>
      <c r="H46" s="546"/>
      <c r="I46" s="547"/>
      <c r="J46" s="548"/>
      <c r="K46" s="548"/>
      <c r="L46" s="548"/>
    </row>
    <row r="47" spans="1:12" ht="15" customHeight="1">
      <c r="A47" s="547" t="s">
        <v>260</v>
      </c>
      <c r="B47" s="546"/>
      <c r="C47" s="546"/>
      <c r="D47" s="547"/>
      <c r="E47" s="547"/>
      <c r="F47" s="546"/>
      <c r="G47" s="546"/>
      <c r="H47" s="546"/>
      <c r="I47" s="547"/>
      <c r="J47" s="548"/>
      <c r="K47" s="548"/>
      <c r="L47" s="548"/>
    </row>
    <row r="48" spans="1:12" ht="15" customHeight="1">
      <c r="A48" s="546" t="s">
        <v>261</v>
      </c>
      <c r="B48" s="546"/>
      <c r="C48" s="546"/>
      <c r="D48" s="547"/>
      <c r="E48" s="547"/>
      <c r="F48" s="546"/>
      <c r="G48" s="546"/>
      <c r="H48" s="546"/>
      <c r="I48" s="547"/>
      <c r="J48" s="548"/>
      <c r="K48" s="548"/>
      <c r="L48" s="548"/>
    </row>
    <row r="49" spans="1:12" ht="15" customHeight="1">
      <c r="A49" s="546" t="s">
        <v>262</v>
      </c>
      <c r="B49" s="546"/>
      <c r="C49" s="546"/>
      <c r="D49" s="547"/>
      <c r="E49" s="547"/>
      <c r="F49" s="546"/>
      <c r="G49" s="546"/>
      <c r="H49" s="546"/>
      <c r="I49" s="547"/>
      <c r="J49" s="548"/>
      <c r="K49" s="548"/>
      <c r="L49" s="548"/>
    </row>
    <row r="50" spans="1:12" ht="15" customHeight="1">
      <c r="A50" s="547" t="s">
        <v>263</v>
      </c>
      <c r="B50" s="546"/>
      <c r="C50" s="546"/>
      <c r="D50" s="547"/>
      <c r="E50" s="547"/>
      <c r="F50" s="546"/>
      <c r="G50" s="546"/>
      <c r="H50" s="546"/>
      <c r="I50" s="547"/>
      <c r="J50" s="548"/>
      <c r="K50" s="548"/>
      <c r="L50" s="548"/>
    </row>
    <row r="51" spans="1:12" ht="18" customHeight="1">
      <c r="A51" s="547" t="s">
        <v>264</v>
      </c>
      <c r="B51" s="547"/>
      <c r="C51" s="547"/>
      <c r="D51" s="547"/>
      <c r="E51" s="547"/>
      <c r="F51" s="547"/>
      <c r="G51" s="547"/>
      <c r="H51" s="547"/>
      <c r="I51" s="547"/>
      <c r="J51" s="548"/>
      <c r="K51" s="548"/>
      <c r="L51" s="548"/>
    </row>
    <row r="52" spans="1:12" ht="18" customHeight="1">
      <c r="A52" s="548" t="s">
        <v>265</v>
      </c>
      <c r="B52" s="548"/>
      <c r="C52" s="548"/>
      <c r="D52" s="548"/>
      <c r="E52" s="548"/>
      <c r="F52" s="548"/>
      <c r="G52" s="548"/>
      <c r="H52" s="548"/>
      <c r="I52" s="548"/>
      <c r="J52" s="548"/>
      <c r="K52" s="548"/>
      <c r="L52" s="548"/>
    </row>
    <row r="53" spans="1:14" ht="18" customHeight="1">
      <c r="A53" s="548" t="s">
        <v>266</v>
      </c>
      <c r="B53" s="548"/>
      <c r="C53" s="548"/>
      <c r="D53" s="548"/>
      <c r="E53" s="548"/>
      <c r="F53" s="548"/>
      <c r="G53" s="548"/>
      <c r="H53" s="548"/>
      <c r="I53" s="548"/>
      <c r="J53" s="548"/>
      <c r="K53" s="548"/>
      <c r="L53" s="548"/>
      <c r="M53" s="548"/>
      <c r="N53" s="548"/>
    </row>
    <row r="54" spans="1:14" ht="18" customHeight="1">
      <c r="A54" s="548" t="s">
        <v>267</v>
      </c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</row>
    <row r="55" ht="18" customHeight="1">
      <c r="A55" s="548" t="s">
        <v>268</v>
      </c>
    </row>
    <row r="56" spans="12:18" ht="18" customHeight="1">
      <c r="L56" s="335"/>
      <c r="M56" s="335"/>
      <c r="N56" s="335"/>
      <c r="O56" s="335"/>
      <c r="P56" s="335"/>
      <c r="Q56" s="335"/>
      <c r="R56" s="335"/>
    </row>
    <row r="57" spans="12:18" ht="18" customHeight="1">
      <c r="L57" s="1063"/>
      <c r="M57" s="1064"/>
      <c r="N57" s="337"/>
      <c r="O57" s="338"/>
      <c r="P57" s="338"/>
      <c r="Q57" s="338"/>
      <c r="R57" s="338"/>
    </row>
    <row r="58" spans="10:18" ht="12.75" customHeight="1">
      <c r="J58" s="339"/>
      <c r="K58" s="339"/>
      <c r="L58" s="339"/>
      <c r="M58" s="339"/>
      <c r="N58" s="339"/>
      <c r="O58" s="339"/>
      <c r="P58" s="339"/>
      <c r="Q58" s="339"/>
      <c r="R58" s="339"/>
    </row>
    <row r="59" spans="10:18" s="370" customFormat="1" ht="18.75" customHeight="1" thickBot="1">
      <c r="J59" s="369"/>
      <c r="K59" s="369"/>
      <c r="L59" s="369"/>
      <c r="M59" s="369"/>
      <c r="N59" s="369"/>
      <c r="O59" s="369"/>
      <c r="P59" s="369"/>
      <c r="Q59" s="369"/>
      <c r="R59" s="369"/>
    </row>
    <row r="60" spans="9:19" ht="18" customHeight="1">
      <c r="I60" s="1067" t="s">
        <v>220</v>
      </c>
      <c r="J60" s="1067"/>
      <c r="K60" s="1067"/>
      <c r="L60" s="272">
        <f>+'[1]IT-STATEMENT-2014-2015'!U56</f>
        <v>53976</v>
      </c>
      <c r="M60" s="292"/>
      <c r="N60" s="292"/>
      <c r="O60" s="326"/>
      <c r="P60" s="327"/>
      <c r="Q60" s="327"/>
      <c r="R60" s="327"/>
      <c r="S60" s="328"/>
    </row>
    <row r="61" spans="9:19" ht="18" customHeight="1" thickBot="1">
      <c r="I61" s="1067" t="s">
        <v>221</v>
      </c>
      <c r="J61" s="1067"/>
      <c r="K61" s="1067"/>
      <c r="L61" s="332">
        <f>+B34</f>
        <v>4591</v>
      </c>
      <c r="M61" s="292"/>
      <c r="N61" s="292"/>
      <c r="O61" s="329"/>
      <c r="P61" s="292"/>
      <c r="Q61" s="292"/>
      <c r="R61" s="292"/>
      <c r="S61" s="366"/>
    </row>
    <row r="62" spans="12:19" ht="18" customHeight="1" thickBot="1" thickTop="1">
      <c r="L62" s="333">
        <f>+L60-L61</f>
        <v>49385</v>
      </c>
      <c r="M62" s="292"/>
      <c r="N62" s="292"/>
      <c r="O62" s="1087" t="s">
        <v>110</v>
      </c>
      <c r="P62" s="1088"/>
      <c r="Q62" s="1088"/>
      <c r="R62" s="1088" t="s">
        <v>111</v>
      </c>
      <c r="S62" s="1089"/>
    </row>
    <row r="63" spans="10:19" ht="18" customHeight="1" thickBot="1" thickTop="1">
      <c r="J63" s="339"/>
      <c r="K63" s="339"/>
      <c r="L63" s="339"/>
      <c r="M63" s="339"/>
      <c r="N63" s="339"/>
      <c r="O63" s="1114" t="s">
        <v>269</v>
      </c>
      <c r="P63" s="1115"/>
      <c r="Q63" s="1115"/>
      <c r="R63" s="1085" t="s">
        <v>270</v>
      </c>
      <c r="S63" s="1086"/>
    </row>
    <row r="64" spans="15:19" ht="18" customHeight="1">
      <c r="O64" s="1116" t="s">
        <v>113</v>
      </c>
      <c r="P64" s="1117"/>
      <c r="Q64" s="1117"/>
      <c r="R64" s="1117"/>
      <c r="S64" s="1118"/>
    </row>
    <row r="65" spans="15:19" ht="18" customHeight="1">
      <c r="O65" s="1119"/>
      <c r="P65" s="1120"/>
      <c r="Q65" s="1120"/>
      <c r="R65" s="1120"/>
      <c r="S65" s="1121"/>
    </row>
    <row r="66" spans="15:19" ht="18" customHeight="1">
      <c r="O66" s="1119"/>
      <c r="P66" s="1120"/>
      <c r="Q66" s="1120"/>
      <c r="R66" s="1120"/>
      <c r="S66" s="1121"/>
    </row>
    <row r="67" spans="15:19" ht="18" customHeight="1" thickBot="1">
      <c r="O67" s="1122"/>
      <c r="P67" s="1123"/>
      <c r="Q67" s="1123"/>
      <c r="R67" s="1123"/>
      <c r="S67" s="1124"/>
    </row>
    <row r="68" spans="15:19" ht="18" customHeight="1" thickBot="1">
      <c r="O68" s="1083" t="s">
        <v>116</v>
      </c>
      <c r="P68" s="1084"/>
      <c r="Q68" s="1084"/>
      <c r="R68" s="1084" t="s">
        <v>117</v>
      </c>
      <c r="S68" s="1125"/>
    </row>
    <row r="69" spans="15:19" ht="18" customHeight="1" thickBot="1">
      <c r="O69" s="251" t="s">
        <v>120</v>
      </c>
      <c r="P69" s="1077">
        <f>+'FORM 16 -2017-2018'!P111:Q111</f>
        <v>0</v>
      </c>
      <c r="Q69" s="1077"/>
      <c r="R69" s="1078">
        <f>+'FORM 16 -2017-2018'!R111:S111</f>
        <v>0</v>
      </c>
      <c r="S69" s="1079"/>
    </row>
    <row r="70" spans="15:19" ht="18" customHeight="1" thickBot="1">
      <c r="O70" s="252" t="s">
        <v>121</v>
      </c>
      <c r="P70" s="1077">
        <f>+'FORM 16 -2017-2018'!P112:Q112</f>
        <v>0</v>
      </c>
      <c r="Q70" s="1077"/>
      <c r="R70" s="1078">
        <f>+'FORM 16 -2017-2018'!R112:S112</f>
        <v>0</v>
      </c>
      <c r="S70" s="1079"/>
    </row>
    <row r="71" spans="10:19" ht="18" customHeight="1" thickBot="1">
      <c r="J71" s="340"/>
      <c r="O71" s="252" t="s">
        <v>122</v>
      </c>
      <c r="P71" s="1077">
        <f>+'FORM 16 -2017-2018'!P113:Q113</f>
        <v>0</v>
      </c>
      <c r="Q71" s="1077"/>
      <c r="R71" s="1078">
        <f>+'FORM 16 -2017-2018'!R113:S113</f>
        <v>0</v>
      </c>
      <c r="S71" s="1079"/>
    </row>
    <row r="72" spans="10:19" ht="18" customHeight="1" thickBot="1">
      <c r="J72" s="340"/>
      <c r="M72" s="341"/>
      <c r="O72" s="253" t="s">
        <v>123</v>
      </c>
      <c r="P72" s="1077">
        <f>+'FORM 16 -2017-2018'!P114:Q114</f>
        <v>0</v>
      </c>
      <c r="Q72" s="1077"/>
      <c r="R72" s="1078">
        <f>+'FORM 16 -2017-2018'!R114:S114</f>
        <v>0</v>
      </c>
      <c r="S72" s="1079"/>
    </row>
    <row r="73" spans="10:26" ht="78.75" customHeight="1">
      <c r="J73" s="342"/>
      <c r="K73" s="338"/>
      <c r="L73" s="338"/>
      <c r="M73" s="353" t="s">
        <v>191</v>
      </c>
      <c r="N73" s="353" t="s">
        <v>271</v>
      </c>
      <c r="O73" s="353" t="s">
        <v>222</v>
      </c>
      <c r="P73" s="354" t="s">
        <v>197</v>
      </c>
      <c r="Q73" s="354" t="s">
        <v>198</v>
      </c>
      <c r="R73" s="355" t="s">
        <v>199</v>
      </c>
      <c r="S73" s="366"/>
      <c r="T73" s="292"/>
      <c r="U73" s="292"/>
      <c r="V73" s="292"/>
      <c r="W73" s="292"/>
      <c r="X73" s="292"/>
      <c r="Y73" s="292"/>
      <c r="Z73" s="292"/>
    </row>
    <row r="74" spans="10:26" ht="18" customHeight="1">
      <c r="J74" s="292"/>
      <c r="K74" s="292"/>
      <c r="L74" s="292"/>
      <c r="M74" s="356">
        <v>3</v>
      </c>
      <c r="N74" s="356">
        <f>+'FORM 16 -2017-2018'!N116</f>
        <v>0</v>
      </c>
      <c r="O74" s="356">
        <f>+'FORM 16 -2017-2018'!O116</f>
        <v>49000</v>
      </c>
      <c r="P74" s="344">
        <f>+'FORM 16 -2017-2018'!P116</f>
        <v>0</v>
      </c>
      <c r="Q74" s="344">
        <f>+'FORM 16 -2017-2018'!Q116</f>
        <v>0</v>
      </c>
      <c r="R74" s="344">
        <f>+'FORM 16 -2017-2018'!R116</f>
        <v>0</v>
      </c>
      <c r="S74" s="366"/>
      <c r="T74" s="292"/>
      <c r="U74" s="292"/>
      <c r="V74" s="292"/>
      <c r="W74" s="292"/>
      <c r="X74" s="292"/>
      <c r="Y74" s="292"/>
      <c r="Z74" s="292"/>
    </row>
    <row r="75" spans="10:26" ht="18" customHeight="1">
      <c r="J75" s="292"/>
      <c r="K75" s="292"/>
      <c r="L75" s="292"/>
      <c r="M75" s="343">
        <f>+M74+1</f>
        <v>4</v>
      </c>
      <c r="N75" s="356">
        <f>+'FORM 16 -2017-2018'!N117</f>
        <v>0</v>
      </c>
      <c r="O75" s="356">
        <f>+'FORM 16 -2017-2018'!O117</f>
        <v>129500</v>
      </c>
      <c r="P75" s="344">
        <f>+'FORM 16 -2017-2018'!P117</f>
        <v>242465</v>
      </c>
      <c r="Q75" s="344" t="str">
        <f>+'FORM 16 -2017-2018'!Q117</f>
        <v>06.05.2016</v>
      </c>
      <c r="R75" s="344">
        <f>+'FORM 16 -2017-2018'!R117</f>
        <v>3915</v>
      </c>
      <c r="S75" s="366"/>
      <c r="T75" s="292"/>
      <c r="U75" s="292"/>
      <c r="V75" s="292"/>
      <c r="W75" s="292"/>
      <c r="X75" s="292"/>
      <c r="Y75" s="292"/>
      <c r="Z75" s="292"/>
    </row>
    <row r="76" spans="10:26" ht="18" customHeight="1">
      <c r="J76" s="292"/>
      <c r="K76" s="292"/>
      <c r="L76" s="292"/>
      <c r="M76" s="343">
        <f aca="true" t="shared" si="2" ref="M76:M85">+M75+1</f>
        <v>5</v>
      </c>
      <c r="N76" s="356">
        <f>+'FORM 16 -2017-2018'!N118</f>
        <v>0</v>
      </c>
      <c r="O76" s="356">
        <f>+'FORM 16 -2017-2018'!O118</f>
        <v>146500</v>
      </c>
      <c r="P76" s="344">
        <f>+'FORM 16 -2017-2018'!P118</f>
        <v>242465</v>
      </c>
      <c r="Q76" s="344" t="str">
        <f>+'FORM 16 -2017-2018'!Q118</f>
        <v>07.06.2016</v>
      </c>
      <c r="R76" s="344">
        <f>+'FORM 16 -2017-2018'!R118</f>
        <v>2472</v>
      </c>
      <c r="S76" s="366"/>
      <c r="T76" s="292"/>
      <c r="U76" s="292"/>
      <c r="V76" s="292"/>
      <c r="W76" s="292"/>
      <c r="X76" s="292"/>
      <c r="Y76" s="292"/>
      <c r="Z76" s="292"/>
    </row>
    <row r="77" spans="10:26" ht="18" customHeight="1">
      <c r="J77" s="292"/>
      <c r="K77" s="292"/>
      <c r="L77" s="292"/>
      <c r="M77" s="343">
        <f t="shared" si="2"/>
        <v>6</v>
      </c>
      <c r="N77" s="356">
        <f>+'FORM 16 -2017-2018'!N119</f>
        <v>0</v>
      </c>
      <c r="O77" s="356">
        <f>+'FORM 16 -2017-2018'!O119</f>
        <v>182000</v>
      </c>
      <c r="P77" s="344">
        <f>+'FORM 16 -2017-2018'!P119</f>
        <v>242465</v>
      </c>
      <c r="Q77" s="344" t="str">
        <f>+'FORM 16 -2017-2018'!Q119</f>
        <v>12.07.2016</v>
      </c>
      <c r="R77" s="344">
        <f>+'FORM 16 -2017-2018'!R119</f>
        <v>432</v>
      </c>
      <c r="S77" s="366"/>
      <c r="T77" s="292"/>
      <c r="U77" s="292"/>
      <c r="V77" s="292"/>
      <c r="W77" s="292"/>
      <c r="X77" s="292"/>
      <c r="Y77" s="292"/>
      <c r="Z77" s="292"/>
    </row>
    <row r="78" spans="10:26" ht="18" customHeight="1">
      <c r="J78" s="292"/>
      <c r="K78" s="292"/>
      <c r="L78" s="292"/>
      <c r="M78" s="343">
        <f t="shared" si="2"/>
        <v>7</v>
      </c>
      <c r="N78" s="356">
        <f>+'FORM 16 -2017-2018'!N120</f>
        <v>0</v>
      </c>
      <c r="O78" s="356">
        <f>+'FORM 16 -2017-2018'!O120</f>
        <v>206000</v>
      </c>
      <c r="P78" s="344">
        <f>+'FORM 16 -2017-2018'!P120</f>
        <v>242465</v>
      </c>
      <c r="Q78" s="344" t="str">
        <f>+'FORM 16 -2017-2018'!Q120</f>
        <v>09.08.2016</v>
      </c>
      <c r="R78" s="344">
        <f>+'FORM 16 -2017-2018'!R120</f>
        <v>1060</v>
      </c>
      <c r="S78" s="366"/>
      <c r="T78" s="292"/>
      <c r="U78" s="292"/>
      <c r="V78" s="292"/>
      <c r="W78" s="292"/>
      <c r="X78" s="292"/>
      <c r="Y78" s="292"/>
      <c r="Z78" s="292"/>
    </row>
    <row r="79" spans="10:26" ht="18" customHeight="1">
      <c r="J79" s="292"/>
      <c r="K79" s="292"/>
      <c r="L79" s="292"/>
      <c r="M79" s="343">
        <f t="shared" si="2"/>
        <v>8</v>
      </c>
      <c r="N79" s="356">
        <f>+'FORM 16 -2017-2018'!N121</f>
        <v>0</v>
      </c>
      <c r="O79" s="356">
        <f>+'FORM 16 -2017-2018'!O121</f>
        <v>268375</v>
      </c>
      <c r="P79" s="344">
        <f>+'FORM 16 -2017-2018'!P121</f>
        <v>242465</v>
      </c>
      <c r="Q79" s="344" t="str">
        <f>+'FORM 16 -2017-2018'!Q121</f>
        <v>07.09.2016</v>
      </c>
      <c r="R79" s="344">
        <f>+'FORM 16 -2017-2018'!R121</f>
        <v>6594</v>
      </c>
      <c r="S79" s="366"/>
      <c r="T79" s="292"/>
      <c r="U79" s="292"/>
      <c r="V79" s="292"/>
      <c r="W79" s="292"/>
      <c r="X79" s="292"/>
      <c r="Y79" s="292"/>
      <c r="Z79" s="292"/>
    </row>
    <row r="80" spans="10:26" ht="18" customHeight="1">
      <c r="J80" s="292"/>
      <c r="K80" s="292"/>
      <c r="L80" s="292"/>
      <c r="M80" s="343">
        <f t="shared" si="2"/>
        <v>9</v>
      </c>
      <c r="N80" s="356">
        <f>+'FORM 16 -2017-2018'!N122</f>
        <v>0</v>
      </c>
      <c r="O80" s="356">
        <f>+'FORM 16 -2017-2018'!O122</f>
        <v>263500</v>
      </c>
      <c r="P80" s="344">
        <f>+'FORM 16 -2017-2018'!P122</f>
        <v>242465</v>
      </c>
      <c r="Q80" s="344" t="str">
        <f>+'FORM 16 -2017-2018'!Q122</f>
        <v>07.10.2016</v>
      </c>
      <c r="R80" s="344">
        <f>+'FORM 16 -2017-2018'!R122</f>
        <v>5223</v>
      </c>
      <c r="S80" s="366"/>
      <c r="T80" s="292"/>
      <c r="U80" s="292"/>
      <c r="V80" s="292"/>
      <c r="W80" s="292"/>
      <c r="X80" s="292"/>
      <c r="Y80" s="292"/>
      <c r="Z80" s="292"/>
    </row>
    <row r="81" spans="10:26" ht="18" customHeight="1">
      <c r="J81" s="292"/>
      <c r="K81" s="292"/>
      <c r="L81" s="292"/>
      <c r="M81" s="343">
        <f t="shared" si="2"/>
        <v>10</v>
      </c>
      <c r="N81" s="356">
        <f>+'FORM 16 -2017-2018'!N123</f>
        <v>0</v>
      </c>
      <c r="O81" s="356">
        <f>+'FORM 16 -2017-2018'!O123</f>
        <v>0</v>
      </c>
      <c r="P81" s="344">
        <f>+'FORM 16 -2017-2018'!P123</f>
        <v>242465</v>
      </c>
      <c r="Q81" s="344" t="str">
        <f>+'FORM 16 -2017-2018'!Q123</f>
        <v>05.11.2016</v>
      </c>
      <c r="R81" s="344">
        <f>+'FORM 16 -2017-2018'!R123</f>
        <v>9415</v>
      </c>
      <c r="S81" s="366"/>
      <c r="T81" s="292"/>
      <c r="U81" s="292"/>
      <c r="V81" s="292"/>
      <c r="W81" s="292"/>
      <c r="X81" s="292"/>
      <c r="Y81" s="292"/>
      <c r="Z81" s="292"/>
    </row>
    <row r="82" spans="10:26" ht="18" customHeight="1">
      <c r="J82" s="292"/>
      <c r="K82" s="292"/>
      <c r="L82" s="292"/>
      <c r="M82" s="343">
        <f t="shared" si="2"/>
        <v>11</v>
      </c>
      <c r="N82" s="356">
        <f>+'FORM 16 -2017-2018'!N124</f>
        <v>1200</v>
      </c>
      <c r="O82" s="356">
        <f>+'FORM 16 -2017-2018'!O124</f>
        <v>0</v>
      </c>
      <c r="P82" s="344">
        <f>+'FORM 16 -2017-2018'!P124</f>
        <v>242465</v>
      </c>
      <c r="Q82" s="344" t="str">
        <f>+'FORM 16 -2017-2018'!Q124</f>
        <v>07.12.2016</v>
      </c>
      <c r="R82" s="344">
        <f>+'FORM 16 -2017-2018'!R124</f>
        <v>9037</v>
      </c>
      <c r="S82" s="366"/>
      <c r="T82" s="292"/>
      <c r="U82" s="292"/>
      <c r="V82" s="292"/>
      <c r="W82" s="292"/>
      <c r="X82" s="292"/>
      <c r="Y82" s="292"/>
      <c r="Z82" s="292"/>
    </row>
    <row r="83" spans="10:26" ht="18" customHeight="1">
      <c r="J83" s="292"/>
      <c r="K83" s="292"/>
      <c r="L83" s="292"/>
      <c r="M83" s="343">
        <f t="shared" si="2"/>
        <v>12</v>
      </c>
      <c r="N83" s="356">
        <f>+'FORM 16 -2017-2018'!N125</f>
        <v>1200</v>
      </c>
      <c r="O83" s="356">
        <f>+'FORM 16 -2017-2018'!O125</f>
        <v>0</v>
      </c>
      <c r="P83" s="344">
        <f>+'FORM 16 -2017-2018'!P125</f>
        <v>242465</v>
      </c>
      <c r="Q83" s="344" t="str">
        <f>+'FORM 16 -2017-2018'!Q125</f>
        <v>07.01.2017</v>
      </c>
      <c r="R83" s="344">
        <f>+'FORM 16 -2017-2018'!R125</f>
        <v>3167</v>
      </c>
      <c r="S83" s="366"/>
      <c r="T83" s="292"/>
      <c r="U83" s="292"/>
      <c r="V83" s="292"/>
      <c r="W83" s="292"/>
      <c r="X83" s="292"/>
      <c r="Y83" s="292"/>
      <c r="Z83" s="292"/>
    </row>
    <row r="84" spans="10:26" ht="18" customHeight="1">
      <c r="J84" s="292"/>
      <c r="K84" s="292"/>
      <c r="L84" s="292"/>
      <c r="M84" s="343">
        <v>1</v>
      </c>
      <c r="N84" s="356">
        <f>+'FORM 16 -2017-2018'!N126</f>
        <v>1100</v>
      </c>
      <c r="O84" s="356">
        <f>+'FORM 16 -2017-2018'!O126</f>
        <v>0</v>
      </c>
      <c r="P84" s="344">
        <f>+'FORM 16 -2017-2018'!P126</f>
        <v>242465</v>
      </c>
      <c r="Q84" s="344" t="str">
        <f>+'FORM 16 -2017-2018'!Q126</f>
        <v>07.02.2017</v>
      </c>
      <c r="R84" s="344">
        <f>+'FORM 16 -2017-2018'!R126</f>
        <v>5389</v>
      </c>
      <c r="S84" s="366"/>
      <c r="T84" s="292"/>
      <c r="U84" s="292"/>
      <c r="V84" s="292"/>
      <c r="W84" s="292"/>
      <c r="X84" s="292"/>
      <c r="Y84" s="292"/>
      <c r="Z84" s="292"/>
    </row>
    <row r="85" spans="10:26" ht="18" customHeight="1">
      <c r="J85" s="292"/>
      <c r="K85" s="292"/>
      <c r="L85" s="292"/>
      <c r="M85" s="343">
        <f t="shared" si="2"/>
        <v>2</v>
      </c>
      <c r="N85" s="356">
        <f>+'FORM 16 -2017-2018'!N127</f>
        <v>1091</v>
      </c>
      <c r="O85" s="356">
        <f>+'FORM 16 -2017-2018'!O127</f>
        <v>0</v>
      </c>
      <c r="P85" s="344">
        <f>+'FORM 16 -2017-2018'!P127</f>
        <v>242465</v>
      </c>
      <c r="Q85" s="344" t="str">
        <f>+'FORM 16 -2017-2018'!Q127</f>
        <v>07.03.2017</v>
      </c>
      <c r="R85" s="344">
        <f>+'FORM 16 -2017-2018'!R127</f>
        <v>13594</v>
      </c>
      <c r="S85" s="366"/>
      <c r="T85" s="292"/>
      <c r="U85" s="292"/>
      <c r="V85" s="292"/>
      <c r="W85" s="292"/>
      <c r="X85" s="292"/>
      <c r="Y85" s="292"/>
      <c r="Z85" s="292"/>
    </row>
    <row r="86" spans="10:26" ht="18" customHeight="1">
      <c r="J86" s="292"/>
      <c r="K86" s="292"/>
      <c r="L86" s="292"/>
      <c r="M86" s="292"/>
      <c r="N86" s="292"/>
      <c r="O86" s="343"/>
      <c r="P86" s="348"/>
      <c r="Q86" s="345"/>
      <c r="R86" s="346"/>
      <c r="S86" s="366"/>
      <c r="T86" s="292"/>
      <c r="U86" s="292"/>
      <c r="V86" s="292"/>
      <c r="W86" s="292"/>
      <c r="X86" s="292"/>
      <c r="Y86" s="292"/>
      <c r="Z86" s="292"/>
    </row>
    <row r="87" spans="10:26" ht="18" customHeight="1">
      <c r="J87" s="292"/>
      <c r="K87" s="292"/>
      <c r="L87" s="292"/>
      <c r="M87" s="292"/>
      <c r="N87" s="292"/>
      <c r="O87" s="343"/>
      <c r="P87" s="348"/>
      <c r="Q87" s="345"/>
      <c r="R87" s="346"/>
      <c r="S87" s="366"/>
      <c r="T87" s="292"/>
      <c r="U87" s="292"/>
      <c r="V87" s="292"/>
      <c r="W87" s="292"/>
      <c r="X87" s="292"/>
      <c r="Y87" s="292"/>
      <c r="Z87" s="292"/>
    </row>
    <row r="88" spans="10:26" ht="18" customHeight="1" thickBot="1">
      <c r="J88" s="292"/>
      <c r="K88" s="292"/>
      <c r="L88" s="292"/>
      <c r="M88" s="292"/>
      <c r="N88" s="292"/>
      <c r="O88" s="357" t="s">
        <v>218</v>
      </c>
      <c r="P88" s="352" t="str">
        <f>+'FORM 16 -2017-2018'!P130</f>
        <v>12.04.2018</v>
      </c>
      <c r="Q88" s="349"/>
      <c r="R88" s="358"/>
      <c r="S88" s="366"/>
      <c r="T88" s="292"/>
      <c r="U88" s="292"/>
      <c r="V88" s="292"/>
      <c r="W88" s="292"/>
      <c r="X88" s="292"/>
      <c r="Y88" s="292"/>
      <c r="Z88" s="292"/>
    </row>
    <row r="89" spans="15:26" ht="18" customHeight="1">
      <c r="O89" s="359" t="s">
        <v>226</v>
      </c>
      <c r="P89" s="373" t="str">
        <f>+'FORM 16 -2017-2018'!P131</f>
        <v>ER.A.N.MURUGADASAN,B.E.,</v>
      </c>
      <c r="Q89" s="350"/>
      <c r="R89" s="360"/>
      <c r="S89" s="367"/>
      <c r="T89" s="372"/>
      <c r="U89" s="292"/>
      <c r="V89" s="292"/>
      <c r="W89" s="292"/>
      <c r="X89" s="292"/>
      <c r="Y89" s="292"/>
      <c r="Z89" s="292"/>
    </row>
    <row r="90" spans="15:26" ht="18" customHeight="1">
      <c r="O90" s="347"/>
      <c r="P90" s="349"/>
      <c r="Q90" s="349"/>
      <c r="R90" s="358"/>
      <c r="S90" s="366"/>
      <c r="T90" s="292"/>
      <c r="U90" s="292"/>
      <c r="V90" s="292"/>
      <c r="W90" s="292"/>
      <c r="X90" s="292"/>
      <c r="Y90" s="292"/>
      <c r="Z90" s="292"/>
    </row>
    <row r="91" spans="15:19" ht="18" customHeight="1">
      <c r="O91" s="361" t="s">
        <v>213</v>
      </c>
      <c r="P91" s="351" t="str">
        <f>+'FORM 16 -2017-2018'!P133</f>
        <v>P.KOWSHIK</v>
      </c>
      <c r="Q91" s="349"/>
      <c r="R91" s="358"/>
      <c r="S91" s="366"/>
    </row>
    <row r="92" spans="15:19" ht="18" customHeight="1" thickBot="1">
      <c r="O92" s="362" t="s">
        <v>214</v>
      </c>
      <c r="P92" s="363" t="str">
        <f>+'FORM 16 -2017-2018'!P134</f>
        <v>K.PUSHPAVANAM</v>
      </c>
      <c r="Q92" s="364"/>
      <c r="R92" s="365"/>
      <c r="S92" s="368"/>
    </row>
    <row r="93" s="371" customFormat="1" ht="18" customHeight="1"/>
  </sheetData>
  <sheetProtection/>
  <mergeCells count="96">
    <mergeCell ref="A1:D1"/>
    <mergeCell ref="E1:I1"/>
    <mergeCell ref="A2:E2"/>
    <mergeCell ref="F2:I2"/>
    <mergeCell ref="A3:E3"/>
    <mergeCell ref="F3:I3"/>
    <mergeCell ref="F4:I4"/>
    <mergeCell ref="A5:E5"/>
    <mergeCell ref="F5:I5"/>
    <mergeCell ref="A7:C7"/>
    <mergeCell ref="D7:E7"/>
    <mergeCell ref="F7:I7"/>
    <mergeCell ref="A6:C6"/>
    <mergeCell ref="D6:E6"/>
    <mergeCell ref="F6:I6"/>
    <mergeCell ref="A4:E4"/>
    <mergeCell ref="A8:E11"/>
    <mergeCell ref="F8:G8"/>
    <mergeCell ref="H8:I8"/>
    <mergeCell ref="F9:G9"/>
    <mergeCell ref="H9:I11"/>
    <mergeCell ref="F10:G11"/>
    <mergeCell ref="A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22:C22"/>
    <mergeCell ref="G22:I22"/>
    <mergeCell ref="B16:C16"/>
    <mergeCell ref="D16:E16"/>
    <mergeCell ref="F16:G16"/>
    <mergeCell ref="H16:I16"/>
    <mergeCell ref="A17:I17"/>
    <mergeCell ref="A18:I18"/>
    <mergeCell ref="A19:A20"/>
    <mergeCell ref="B19:C20"/>
    <mergeCell ref="D19:I19"/>
    <mergeCell ref="G20:I20"/>
    <mergeCell ref="B21:C21"/>
    <mergeCell ref="G21:I21"/>
    <mergeCell ref="B30:C30"/>
    <mergeCell ref="G30:I30"/>
    <mergeCell ref="B25:C25"/>
    <mergeCell ref="G25:I25"/>
    <mergeCell ref="B26:C26"/>
    <mergeCell ref="G26:I26"/>
    <mergeCell ref="B27:C27"/>
    <mergeCell ref="G27:I27"/>
    <mergeCell ref="B28:C28"/>
    <mergeCell ref="G28:I28"/>
    <mergeCell ref="B29:C29"/>
    <mergeCell ref="G29:I29"/>
    <mergeCell ref="B23:C23"/>
    <mergeCell ref="G23:I23"/>
    <mergeCell ref="B24:C24"/>
    <mergeCell ref="G24:I24"/>
    <mergeCell ref="L57:M57"/>
    <mergeCell ref="I60:K60"/>
    <mergeCell ref="B31:C31"/>
    <mergeCell ref="G31:I31"/>
    <mergeCell ref="B32:C32"/>
    <mergeCell ref="G32:I32"/>
    <mergeCell ref="B33:C33"/>
    <mergeCell ref="G33:I33"/>
    <mergeCell ref="B34:C34"/>
    <mergeCell ref="G34:I34"/>
    <mergeCell ref="A35:I38"/>
    <mergeCell ref="F40:I40"/>
    <mergeCell ref="P72:Q72"/>
    <mergeCell ref="R72:S72"/>
    <mergeCell ref="O68:Q68"/>
    <mergeCell ref="R68:S68"/>
    <mergeCell ref="P69:Q69"/>
    <mergeCell ref="P71:Q71"/>
    <mergeCell ref="R71:S71"/>
    <mergeCell ref="I61:K61"/>
    <mergeCell ref="R69:S69"/>
    <mergeCell ref="P70:Q70"/>
    <mergeCell ref="R70:S70"/>
    <mergeCell ref="O64:S67"/>
    <mergeCell ref="O62:Q62"/>
    <mergeCell ref="R62:S62"/>
    <mergeCell ref="O63:Q63"/>
    <mergeCell ref="R63:S63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337"/>
  <sheetViews>
    <sheetView zoomScalePageLayoutView="0" workbookViewId="0" topLeftCell="A13">
      <selection activeCell="B1" sqref="B1"/>
    </sheetView>
  </sheetViews>
  <sheetFormatPr defaultColWidth="9.140625" defaultRowHeight="12.75"/>
  <cols>
    <col min="1" max="1" width="25.00390625" style="0" customWidth="1"/>
    <col min="2" max="2" width="21.57421875" style="0" customWidth="1"/>
    <col min="5" max="5" width="12.140625" style="0" customWidth="1"/>
    <col min="6" max="6" width="5.57421875" style="0" customWidth="1"/>
    <col min="7" max="7" width="8.140625" style="0" customWidth="1"/>
    <col min="8" max="8" width="7.28125" style="0" customWidth="1"/>
    <col min="9" max="9" width="7.00390625" style="0" customWidth="1"/>
    <col min="10" max="10" width="7.8515625" style="0" customWidth="1"/>
    <col min="11" max="11" width="6.8515625" style="0" customWidth="1"/>
    <col min="12" max="12" width="5.28125" style="0" customWidth="1"/>
    <col min="13" max="13" width="6.57421875" style="0" customWidth="1"/>
    <col min="14" max="14" width="8.421875" style="0" customWidth="1"/>
    <col min="15" max="15" width="6.7109375" style="0" customWidth="1"/>
    <col min="16" max="16" width="4.8515625" style="0" customWidth="1"/>
    <col min="17" max="17" width="5.8515625" style="0" customWidth="1"/>
    <col min="18" max="18" width="6.421875" style="0" customWidth="1"/>
    <col min="19" max="19" width="6.28125" style="0" customWidth="1"/>
    <col min="20" max="20" width="5.57421875" style="0" customWidth="1"/>
    <col min="21" max="21" width="9.140625" style="0" customWidth="1"/>
    <col min="22" max="22" width="7.421875" style="199" customWidth="1"/>
    <col min="23" max="23" width="3.8515625" style="0" customWidth="1"/>
    <col min="24" max="24" width="15.7109375" style="0" customWidth="1"/>
    <col min="25" max="25" width="10.8515625" style="0" customWidth="1"/>
    <col min="26" max="26" width="9.57421875" style="0" hidden="1" customWidth="1"/>
    <col min="27" max="27" width="9.140625" style="0" hidden="1" customWidth="1"/>
    <col min="28" max="28" width="9.57421875" style="0" hidden="1" customWidth="1"/>
    <col min="29" max="32" width="9.140625" style="0" hidden="1" customWidth="1"/>
    <col min="33" max="38" width="9.57421875" style="0" hidden="1" customWidth="1"/>
    <col min="39" max="39" width="12.28125" style="0" hidden="1" customWidth="1"/>
    <col min="40" max="40" width="9.57421875" style="0" hidden="1" customWidth="1"/>
    <col min="41" max="41" width="9.140625" style="0" hidden="1" customWidth="1"/>
    <col min="42" max="42" width="10.8515625" style="0" hidden="1" customWidth="1"/>
    <col min="43" max="49" width="9.140625" style="0" hidden="1" customWidth="1"/>
    <col min="50" max="50" width="11.28125" style="0" hidden="1" customWidth="1"/>
    <col min="51" max="74" width="9.140625" style="0" hidden="1" customWidth="1"/>
    <col min="75" max="76" width="9.140625" style="0" customWidth="1"/>
  </cols>
  <sheetData>
    <row r="1" spans="1:61" ht="15" customHeight="1">
      <c r="A1" s="16" t="s">
        <v>0</v>
      </c>
      <c r="B1" s="16">
        <f>+'IT-STATEMENT-2017-2018'!B1</f>
        <v>0</v>
      </c>
      <c r="D1" s="95" t="s">
        <v>69</v>
      </c>
      <c r="E1" s="18"/>
      <c r="G1" s="1269" t="s">
        <v>335</v>
      </c>
      <c r="H1" s="1269"/>
      <c r="I1" s="1269"/>
      <c r="J1" s="1269"/>
      <c r="K1" s="1269"/>
      <c r="L1" s="1269"/>
      <c r="M1" s="1269"/>
      <c r="N1" s="1269"/>
      <c r="O1" s="1269"/>
      <c r="P1" s="1269"/>
      <c r="Q1" s="1269"/>
      <c r="R1" s="1269"/>
      <c r="S1" s="1269"/>
      <c r="T1" s="1269"/>
      <c r="U1" s="1269"/>
      <c r="V1" s="627"/>
      <c r="X1" s="1270" t="s">
        <v>336</v>
      </c>
      <c r="AA1" s="107"/>
      <c r="AB1" s="108"/>
      <c r="AC1" s="107"/>
      <c r="AD1" s="107"/>
      <c r="AE1" s="107"/>
      <c r="AF1" s="107"/>
      <c r="AG1" s="107"/>
      <c r="AH1" s="1272" t="s">
        <v>337</v>
      </c>
      <c r="AI1" s="1273"/>
      <c r="AJ1" s="1273"/>
      <c r="AK1" s="1273"/>
      <c r="AL1" s="1274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</row>
    <row r="2" spans="1:61" s="10" customFormat="1" ht="18.75" customHeight="1">
      <c r="A2" s="106" t="s">
        <v>7</v>
      </c>
      <c r="B2" s="16">
        <f>+'IT-STATEMENT-2017-2018'!B2</f>
        <v>0</v>
      </c>
      <c r="D2" s="96" t="s">
        <v>70</v>
      </c>
      <c r="G2" s="984" t="s">
        <v>292</v>
      </c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628"/>
      <c r="X2" s="1271"/>
      <c r="AA2" s="109"/>
      <c r="AB2" s="110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7"/>
      <c r="BB2" s="107"/>
      <c r="BC2" s="107"/>
      <c r="BD2" s="107"/>
      <c r="BE2" s="107"/>
      <c r="BF2" s="107"/>
      <c r="BG2" s="109"/>
      <c r="BH2" s="109"/>
      <c r="BI2" s="109"/>
    </row>
    <row r="3" spans="1:61" ht="16.5" thickBot="1">
      <c r="A3" s="16" t="s">
        <v>1</v>
      </c>
      <c r="B3" s="16">
        <f>+'IT-STATEMENT-2017-2018'!B3</f>
        <v>0</v>
      </c>
      <c r="D3" s="933" t="str">
        <f>+'IT-STATEMENT-2017-2018'!D3</f>
        <v>S</v>
      </c>
      <c r="G3" s="13" t="s">
        <v>9</v>
      </c>
      <c r="H3" s="13">
        <f>+B1</f>
        <v>0</v>
      </c>
      <c r="I3" s="13"/>
      <c r="J3" s="13"/>
      <c r="K3" s="13"/>
      <c r="L3" s="13"/>
      <c r="M3" s="14"/>
      <c r="N3" s="14"/>
      <c r="O3" s="8"/>
      <c r="P3" s="995" t="s">
        <v>53</v>
      </c>
      <c r="Q3" s="995"/>
      <c r="R3" s="995"/>
      <c r="S3" s="995"/>
      <c r="T3" s="995"/>
      <c r="U3" s="995"/>
      <c r="X3" s="629">
        <v>42948</v>
      </c>
      <c r="Y3" s="630"/>
      <c r="AA3" s="107"/>
      <c r="AB3" s="108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</row>
    <row r="4" spans="1:61" ht="18.75" thickBot="1">
      <c r="A4" s="105" t="s">
        <v>10</v>
      </c>
      <c r="B4" s="17" t="str">
        <f>+'IT-STATEMENT-2017-2018'!B4</f>
        <v>W</v>
      </c>
      <c r="G4" s="13" t="s">
        <v>11</v>
      </c>
      <c r="H4" s="13">
        <f>+B2</f>
        <v>0</v>
      </c>
      <c r="I4" s="13"/>
      <c r="J4" s="13"/>
      <c r="K4" s="13"/>
      <c r="L4" s="13"/>
      <c r="M4" s="14"/>
      <c r="N4" s="14"/>
      <c r="O4" s="8"/>
      <c r="P4" s="1023">
        <f>+'IT-STATEMENT-2017-2018'!P4:U4</f>
        <v>0</v>
      </c>
      <c r="Q4" s="1024"/>
      <c r="R4" s="1024"/>
      <c r="S4" s="1024"/>
      <c r="T4" s="1024"/>
      <c r="U4" s="1025"/>
      <c r="X4" s="631">
        <f>+AD49</f>
        <v>0</v>
      </c>
      <c r="AA4" s="107"/>
      <c r="AB4" s="108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</row>
    <row r="5" spans="1:61" ht="16.5" thickBot="1">
      <c r="A5" s="100" t="s">
        <v>293</v>
      </c>
      <c r="B5" s="17">
        <f>+'IT-STATEMENT-2017-2018'!B5</f>
        <v>15000</v>
      </c>
      <c r="D5" s="32"/>
      <c r="G5" s="13" t="s">
        <v>12</v>
      </c>
      <c r="H5" s="13">
        <f>+B3</f>
        <v>0</v>
      </c>
      <c r="I5" s="13"/>
      <c r="J5" s="13"/>
      <c r="K5" s="13"/>
      <c r="L5" s="13"/>
      <c r="M5" s="14"/>
      <c r="N5" s="14"/>
      <c r="O5" s="8"/>
      <c r="P5" s="8"/>
      <c r="Q5" s="8"/>
      <c r="R5" s="8"/>
      <c r="S5" s="8"/>
      <c r="T5" s="8"/>
      <c r="U5" s="8"/>
      <c r="AA5" s="82"/>
      <c r="AB5" s="83"/>
      <c r="AC5" s="83"/>
      <c r="AD5" s="83" t="s">
        <v>66</v>
      </c>
      <c r="AE5" s="83"/>
      <c r="AF5" s="84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4"/>
    </row>
    <row r="6" spans="1:74" ht="24" customHeight="1" thickBot="1">
      <c r="A6" s="16" t="s">
        <v>72</v>
      </c>
      <c r="B6" s="602">
        <f>+'IT-STATEMENT-2017-2018'!B6</f>
        <v>2200</v>
      </c>
      <c r="D6" s="33"/>
      <c r="F6" s="991" t="s">
        <v>52</v>
      </c>
      <c r="G6" s="1277" t="s">
        <v>14</v>
      </c>
      <c r="H6" s="1279" t="s">
        <v>15</v>
      </c>
      <c r="I6" s="1281" t="s">
        <v>2</v>
      </c>
      <c r="J6" s="1283" t="s">
        <v>16</v>
      </c>
      <c r="K6" s="1283" t="s">
        <v>17</v>
      </c>
      <c r="L6" s="1283" t="s">
        <v>18</v>
      </c>
      <c r="M6" s="1289" t="s">
        <v>272</v>
      </c>
      <c r="N6" s="1291" t="s">
        <v>19</v>
      </c>
      <c r="O6" s="632" t="s">
        <v>20</v>
      </c>
      <c r="P6" s="633" t="s">
        <v>21</v>
      </c>
      <c r="Q6" s="1275" t="s">
        <v>22</v>
      </c>
      <c r="R6" s="1275" t="s">
        <v>5</v>
      </c>
      <c r="S6" s="1275" t="s">
        <v>23</v>
      </c>
      <c r="T6" s="1275" t="s">
        <v>24</v>
      </c>
      <c r="U6" s="634" t="s">
        <v>25</v>
      </c>
      <c r="V6" s="519" t="s">
        <v>54</v>
      </c>
      <c r="W6" s="417"/>
      <c r="AA6" s="85"/>
      <c r="AB6" s="79"/>
      <c r="AC6" s="79"/>
      <c r="AD6" s="81">
        <v>1.36</v>
      </c>
      <c r="AE6" s="81">
        <v>1.32</v>
      </c>
      <c r="AF6" s="86" t="s">
        <v>67</v>
      </c>
      <c r="AG6" s="108"/>
      <c r="AH6" s="108"/>
      <c r="AI6" s="115">
        <f aca="true" t="shared" si="0" ref="AI6:AI11">+N13</f>
        <v>43192</v>
      </c>
      <c r="AJ6" s="113"/>
      <c r="AK6" s="116" t="s">
        <v>4</v>
      </c>
      <c r="AL6" s="117">
        <f>+N8</f>
        <v>42504</v>
      </c>
      <c r="AM6" s="117">
        <f>+AL9</f>
        <v>257088</v>
      </c>
      <c r="AN6" s="114">
        <f>IF(AM6&lt;21000,0,IF(AM6&lt;30000,100,IF(AM6&lt;45000,235,IF(AM6&lt;60000,510,IF(AM6&lt;75000,760,1095)))))</f>
        <v>1095</v>
      </c>
      <c r="AO6" s="113"/>
      <c r="AP6" s="118" t="s">
        <v>6</v>
      </c>
      <c r="AQ6" s="119">
        <v>250000</v>
      </c>
      <c r="AR6" s="113"/>
      <c r="AS6" s="120" t="e">
        <f>+AX21</f>
        <v>#N/A</v>
      </c>
      <c r="AT6" s="121"/>
      <c r="AU6" s="122"/>
      <c r="AV6" s="113"/>
      <c r="AW6" s="113" t="s">
        <v>43</v>
      </c>
      <c r="AX6" s="119" t="s">
        <v>240</v>
      </c>
      <c r="AY6" s="123"/>
      <c r="AZ6" s="113"/>
      <c r="BA6" s="113"/>
      <c r="BB6" s="386">
        <v>0</v>
      </c>
      <c r="BC6" s="386">
        <v>0</v>
      </c>
      <c r="BD6" s="386"/>
      <c r="BE6" s="386">
        <v>0</v>
      </c>
      <c r="BF6" s="386">
        <v>0</v>
      </c>
      <c r="BG6" s="113"/>
      <c r="BH6" s="124" t="e">
        <f>IF(U79&gt;500001,U79-O80,IF(U79&lt;1000000,U79-O80,0))</f>
        <v>#N/A</v>
      </c>
      <c r="BI6" s="114"/>
      <c r="BR6">
        <v>0</v>
      </c>
      <c r="BS6">
        <v>0</v>
      </c>
      <c r="BU6">
        <v>0</v>
      </c>
      <c r="BV6">
        <v>0</v>
      </c>
    </row>
    <row r="7" spans="1:74" ht="17.25" customHeight="1" thickBot="1">
      <c r="A7" s="15" t="s">
        <v>13</v>
      </c>
      <c r="B7" s="46">
        <f>+A199</f>
        <v>520</v>
      </c>
      <c r="C7" s="9"/>
      <c r="F7" s="992"/>
      <c r="G7" s="1278"/>
      <c r="H7" s="1280"/>
      <c r="I7" s="1282"/>
      <c r="J7" s="1284"/>
      <c r="K7" s="1284"/>
      <c r="L7" s="1284"/>
      <c r="M7" s="1290"/>
      <c r="N7" s="1292"/>
      <c r="O7" s="635" t="s">
        <v>27</v>
      </c>
      <c r="P7" s="636" t="s">
        <v>28</v>
      </c>
      <c r="Q7" s="1276"/>
      <c r="R7" s="1276"/>
      <c r="S7" s="1276"/>
      <c r="T7" s="1276"/>
      <c r="U7" s="637" t="s">
        <v>29</v>
      </c>
      <c r="V7" s="428" t="e">
        <f>+J39</f>
        <v>#N/A</v>
      </c>
      <c r="W7" s="417"/>
      <c r="AA7" s="87">
        <f>DATE(2017,1,1)</f>
        <v>42736</v>
      </c>
      <c r="AB7" s="79">
        <f>+H8</f>
        <v>15000</v>
      </c>
      <c r="AC7" s="79">
        <f>+I8</f>
        <v>2200</v>
      </c>
      <c r="AD7" s="80">
        <f>ROUND((+AB7+AC7)*AD6,0)</f>
        <v>23392</v>
      </c>
      <c r="AE7" s="80">
        <f>ROUND((+AB7+AC7)*AE6,0)</f>
        <v>22704</v>
      </c>
      <c r="AF7" s="86">
        <f>+AD7-AE7</f>
        <v>688</v>
      </c>
      <c r="AG7" s="108"/>
      <c r="AH7" s="108"/>
      <c r="AI7" s="125">
        <f t="shared" si="0"/>
        <v>43192</v>
      </c>
      <c r="AJ7" s="108"/>
      <c r="AK7" s="126"/>
      <c r="AL7" s="127">
        <f>+AL6</f>
        <v>42504</v>
      </c>
      <c r="AM7" s="126"/>
      <c r="AN7" s="128"/>
      <c r="AO7" s="108"/>
      <c r="AP7" s="129" t="s">
        <v>8</v>
      </c>
      <c r="AQ7" s="130">
        <f>+AQ6</f>
        <v>250000</v>
      </c>
      <c r="AR7" s="108"/>
      <c r="AS7" s="131" t="e">
        <f>+AW22</f>
        <v>#N/A</v>
      </c>
      <c r="AT7" s="132" t="e">
        <f>+AS6-AS7</f>
        <v>#N/A</v>
      </c>
      <c r="AU7" s="133"/>
      <c r="AV7" s="108"/>
      <c r="AW7" s="108" t="s">
        <v>8</v>
      </c>
      <c r="AX7" s="134" t="s">
        <v>240</v>
      </c>
      <c r="AY7" s="135"/>
      <c r="AZ7" s="108"/>
      <c r="BA7" s="108"/>
      <c r="BB7" s="386">
        <v>5299</v>
      </c>
      <c r="BC7" s="386">
        <v>500</v>
      </c>
      <c r="BD7" s="386"/>
      <c r="BE7" s="386">
        <v>8000</v>
      </c>
      <c r="BF7" s="386">
        <v>180</v>
      </c>
      <c r="BG7" s="108"/>
      <c r="BH7" s="136" t="e">
        <f>IF(BH6&gt;500001,500000,IF(BH6&lt;500000,BH6,0))</f>
        <v>#N/A</v>
      </c>
      <c r="BI7" s="137"/>
      <c r="BR7">
        <v>5299</v>
      </c>
      <c r="BS7">
        <v>500</v>
      </c>
      <c r="BU7">
        <v>8000</v>
      </c>
      <c r="BV7">
        <v>180</v>
      </c>
    </row>
    <row r="8" spans="1:74" ht="18.75" thickBot="1">
      <c r="A8" s="16" t="s">
        <v>26</v>
      </c>
      <c r="B8" s="602">
        <f>+'IT-STATEMENT-2017-2018'!B8</f>
        <v>1</v>
      </c>
      <c r="C8" s="45"/>
      <c r="F8" s="42">
        <v>1.32</v>
      </c>
      <c r="G8" s="638">
        <f>DATE(2017,3,1)</f>
        <v>42795</v>
      </c>
      <c r="H8" s="639">
        <f>+B5</f>
        <v>15000</v>
      </c>
      <c r="I8" s="640">
        <f>+A195</f>
        <v>2200</v>
      </c>
      <c r="J8" s="641">
        <f>ROUND((+H8+I8)*F8,0)</f>
        <v>22704</v>
      </c>
      <c r="K8" s="642">
        <f>BO8</f>
        <v>2000</v>
      </c>
      <c r="L8" s="642">
        <f>BP8</f>
        <v>600</v>
      </c>
      <c r="M8" s="643">
        <v>0</v>
      </c>
      <c r="N8" s="644">
        <f aca="true" t="shared" si="1" ref="N8:N19">SUM(H8:M8)</f>
        <v>42504</v>
      </c>
      <c r="O8" s="645">
        <f>+'IT-STATEMENT-2017-2018'!O8</f>
        <v>0</v>
      </c>
      <c r="P8" s="646">
        <f>+'IT-STATEMENT-2017-2018'!P8</f>
        <v>0</v>
      </c>
      <c r="Q8" s="647">
        <f>+'IT-STATEMENT-2017-2018'!Q8</f>
        <v>0</v>
      </c>
      <c r="R8" s="647">
        <f>+'IT-STATEMENT-2017-2018'!R8</f>
        <v>0</v>
      </c>
      <c r="S8" s="647">
        <f>+'IT-STATEMENT-2017-2018'!S8</f>
        <v>0</v>
      </c>
      <c r="T8" s="647"/>
      <c r="U8" s="648">
        <f>+'IT-STATEMENT-2017-2018'!U8</f>
        <v>0</v>
      </c>
      <c r="V8" s="649" t="e">
        <f>+V7-U8</f>
        <v>#N/A</v>
      </c>
      <c r="W8" s="418">
        <v>3</v>
      </c>
      <c r="Y8" s="6">
        <f>+U8</f>
        <v>0</v>
      </c>
      <c r="AA8" s="87">
        <f>DATE(2017,2,1)</f>
        <v>42767</v>
      </c>
      <c r="AB8" s="79">
        <f>+AB7</f>
        <v>15000</v>
      </c>
      <c r="AC8" s="79">
        <f>+I9</f>
        <v>2200</v>
      </c>
      <c r="AD8" s="80">
        <f>ROUND((+AB8+AC8)*AD6,0)</f>
        <v>23392</v>
      </c>
      <c r="AE8" s="80">
        <f>ROUND((+AB8+AC8)*AE6,0)</f>
        <v>22704</v>
      </c>
      <c r="AF8" s="86">
        <f>+AD8-AE8</f>
        <v>688</v>
      </c>
      <c r="AG8" s="108"/>
      <c r="AH8" s="108"/>
      <c r="AI8" s="125">
        <f t="shared" si="0"/>
        <v>43192</v>
      </c>
      <c r="AJ8" s="108"/>
      <c r="AK8" s="108"/>
      <c r="AL8" s="171">
        <f>+N9+N10+N11+N12</f>
        <v>172080</v>
      </c>
      <c r="AM8" s="108"/>
      <c r="AN8" s="137"/>
      <c r="AO8" s="108"/>
      <c r="AP8" s="108"/>
      <c r="AQ8" s="108"/>
      <c r="AR8" s="108"/>
      <c r="AS8" s="131"/>
      <c r="AT8" s="132" t="e">
        <f>+AW23</f>
        <v>#N/A</v>
      </c>
      <c r="AU8" s="133" t="e">
        <f>+AT7-AT8</f>
        <v>#N/A</v>
      </c>
      <c r="AV8" s="108"/>
      <c r="AW8" s="108"/>
      <c r="AX8" s="135"/>
      <c r="AY8" s="135"/>
      <c r="AZ8" s="108"/>
      <c r="BA8" s="108"/>
      <c r="BB8" s="386">
        <v>5300</v>
      </c>
      <c r="BC8" s="386">
        <v>560</v>
      </c>
      <c r="BD8" s="386"/>
      <c r="BE8" s="386">
        <v>8001</v>
      </c>
      <c r="BF8" s="386">
        <v>250</v>
      </c>
      <c r="BG8" s="108"/>
      <c r="BH8" s="108"/>
      <c r="BI8" s="137"/>
      <c r="BL8">
        <f>H8</f>
        <v>15000</v>
      </c>
      <c r="BM8">
        <f>I8</f>
        <v>2200</v>
      </c>
      <c r="BN8">
        <f>BL8+BM8</f>
        <v>17200</v>
      </c>
      <c r="BO8">
        <f>VLOOKUP(+BN8,BR$6:BS$23,2)</f>
        <v>2000</v>
      </c>
      <c r="BP8">
        <f>VLOOKUP(+BN8,BU$6:BV$10,2)</f>
        <v>600</v>
      </c>
      <c r="BR8">
        <v>5300</v>
      </c>
      <c r="BS8">
        <v>560</v>
      </c>
      <c r="BU8">
        <v>8001</v>
      </c>
      <c r="BV8">
        <v>250</v>
      </c>
    </row>
    <row r="9" spans="1:74" ht="16.5" thickBot="1">
      <c r="A9" s="19" t="s">
        <v>294</v>
      </c>
      <c r="B9" s="44">
        <f>+B5+B7</f>
        <v>15520</v>
      </c>
      <c r="C9" s="99"/>
      <c r="F9" s="43">
        <f>+F8</f>
        <v>1.32</v>
      </c>
      <c r="G9" s="650">
        <f>DATE(2017,4,1)</f>
        <v>42826</v>
      </c>
      <c r="H9" s="651">
        <f>IF($B$8&lt;4,$H$8,IF($B$8=4,$H$8+$B$7,IF($B$8&gt;4,$H$8)))</f>
        <v>15000</v>
      </c>
      <c r="I9" s="652">
        <f>+I8</f>
        <v>2200</v>
      </c>
      <c r="J9" s="653">
        <f>ROUND((H9+I9)*F9,0)</f>
        <v>22704</v>
      </c>
      <c r="K9" s="652">
        <f aca="true" t="shared" si="2" ref="K9:L19">BO9</f>
        <v>2000</v>
      </c>
      <c r="L9" s="652">
        <f t="shared" si="2"/>
        <v>600</v>
      </c>
      <c r="M9" s="654">
        <f>+M8</f>
        <v>0</v>
      </c>
      <c r="N9" s="655">
        <f t="shared" si="1"/>
        <v>42504</v>
      </c>
      <c r="O9" s="645">
        <f>+'IT-STATEMENT-2017-2018'!O9</f>
        <v>0</v>
      </c>
      <c r="P9" s="646">
        <f>+'IT-STATEMENT-2017-2018'!P9</f>
        <v>0</v>
      </c>
      <c r="Q9" s="647">
        <f>+'IT-STATEMENT-2017-2018'!Q9</f>
        <v>0</v>
      </c>
      <c r="R9" s="647">
        <f>+'IT-STATEMENT-2017-2018'!R9</f>
        <v>0</v>
      </c>
      <c r="S9" s="647">
        <f>+'IT-STATEMENT-2017-2018'!S9</f>
        <v>0</v>
      </c>
      <c r="T9" s="652"/>
      <c r="U9" s="648">
        <f>+'IT-STATEMENT-2017-2018'!U9</f>
        <v>0</v>
      </c>
      <c r="V9" s="656" t="e">
        <f>+V8-U9</f>
        <v>#N/A</v>
      </c>
      <c r="W9" s="419">
        <f>+W8+1</f>
        <v>4</v>
      </c>
      <c r="Y9" s="6">
        <f aca="true" t="shared" si="3" ref="Y9:Y18">+U9</f>
        <v>0</v>
      </c>
      <c r="AA9" s="87">
        <f>DATE(2017,3,1)</f>
        <v>42795</v>
      </c>
      <c r="AB9" s="79">
        <f>+AB8</f>
        <v>15000</v>
      </c>
      <c r="AC9" s="79">
        <f>+I10</f>
        <v>2200</v>
      </c>
      <c r="AD9" s="80">
        <f>ROUND((+AB9+AC9)*AD6,0)</f>
        <v>23392</v>
      </c>
      <c r="AE9" s="80">
        <f>ROUND((+AB9+AC9)*AE6,0)</f>
        <v>22704</v>
      </c>
      <c r="AF9" s="86">
        <f>+AD9-AE9</f>
        <v>688</v>
      </c>
      <c r="AG9" s="108"/>
      <c r="AH9" s="108"/>
      <c r="AI9" s="125">
        <f t="shared" si="0"/>
        <v>43192</v>
      </c>
      <c r="AJ9" s="108"/>
      <c r="AK9" s="108"/>
      <c r="AL9" s="249">
        <f>SUM(AL6:AL8)</f>
        <v>257088</v>
      </c>
      <c r="AM9" s="108"/>
      <c r="AN9" s="128">
        <f>+AN6</f>
        <v>1095</v>
      </c>
      <c r="AO9" s="108"/>
      <c r="AP9" s="108"/>
      <c r="AQ9" s="108"/>
      <c r="AR9" s="108"/>
      <c r="AS9" s="138"/>
      <c r="AT9" s="139"/>
      <c r="AU9" s="140" t="e">
        <f>+AS7+AT8+AU8</f>
        <v>#N/A</v>
      </c>
      <c r="AV9" s="108"/>
      <c r="AW9" s="108" t="s">
        <v>6</v>
      </c>
      <c r="AX9" s="134" t="s">
        <v>299</v>
      </c>
      <c r="AY9" s="135"/>
      <c r="AZ9" s="108"/>
      <c r="BA9" s="108"/>
      <c r="BB9" s="386">
        <v>6700</v>
      </c>
      <c r="BC9" s="386">
        <v>680</v>
      </c>
      <c r="BD9" s="386"/>
      <c r="BE9" s="386">
        <v>12001</v>
      </c>
      <c r="BF9" s="386">
        <v>400</v>
      </c>
      <c r="BG9" s="108"/>
      <c r="BH9" s="108"/>
      <c r="BI9" s="137"/>
      <c r="BL9">
        <f aca="true" t="shared" si="4" ref="BL9:BM19">H9</f>
        <v>15000</v>
      </c>
      <c r="BM9">
        <f t="shared" si="4"/>
        <v>2200</v>
      </c>
      <c r="BN9">
        <f aca="true" t="shared" si="5" ref="BN9:BN19">BL9+BM9</f>
        <v>17200</v>
      </c>
      <c r="BO9">
        <f aca="true" t="shared" si="6" ref="BO9:BO19">VLOOKUP(+BN9,BR$6:BS$23,2)</f>
        <v>2000</v>
      </c>
      <c r="BP9">
        <f aca="true" t="shared" si="7" ref="BP9:BP19">VLOOKUP(+BN9,BU$6:BV$10,2)</f>
        <v>600</v>
      </c>
      <c r="BR9">
        <v>6700</v>
      </c>
      <c r="BS9">
        <v>680</v>
      </c>
      <c r="BU9">
        <v>12001</v>
      </c>
      <c r="BV9">
        <v>400</v>
      </c>
    </row>
    <row r="10" spans="1:74" ht="17.25" thickBot="1">
      <c r="A10" s="1057" t="s">
        <v>234</v>
      </c>
      <c r="B10" s="657" t="s">
        <v>235</v>
      </c>
      <c r="F10" s="43">
        <v>1.36</v>
      </c>
      <c r="G10" s="650">
        <f>DATE(2017,5,1)</f>
        <v>42856</v>
      </c>
      <c r="H10" s="658">
        <f>+H9</f>
        <v>15000</v>
      </c>
      <c r="I10" s="652">
        <f aca="true" t="shared" si="8" ref="I10:I19">+I9</f>
        <v>2200</v>
      </c>
      <c r="J10" s="653">
        <f aca="true" t="shared" si="9" ref="J10:J19">ROUND((H10+I10)*F10,0)</f>
        <v>23392</v>
      </c>
      <c r="K10" s="652">
        <f t="shared" si="2"/>
        <v>2000</v>
      </c>
      <c r="L10" s="652">
        <f t="shared" si="2"/>
        <v>600</v>
      </c>
      <c r="M10" s="654">
        <f aca="true" t="shared" si="10" ref="M10:M19">+M9</f>
        <v>0</v>
      </c>
      <c r="N10" s="655">
        <f t="shared" si="1"/>
        <v>43192</v>
      </c>
      <c r="O10" s="645">
        <f>+'IT-STATEMENT-2017-2018'!O10</f>
        <v>0</v>
      </c>
      <c r="P10" s="646">
        <f>+'IT-STATEMENT-2017-2018'!P10</f>
        <v>0</v>
      </c>
      <c r="Q10" s="647">
        <f>+'IT-STATEMENT-2017-2018'!Q10</f>
        <v>0</v>
      </c>
      <c r="R10" s="647">
        <f>+'IT-STATEMENT-2017-2018'!R10</f>
        <v>0</v>
      </c>
      <c r="S10" s="647">
        <f>+'IT-STATEMENT-2017-2018'!S10</f>
        <v>0</v>
      </c>
      <c r="T10" s="652"/>
      <c r="U10" s="648">
        <f>+'IT-STATEMENT-2017-2018'!U10</f>
        <v>0</v>
      </c>
      <c r="V10" s="656" t="e">
        <f aca="true" t="shared" si="11" ref="V10:V19">+V9-U10</f>
        <v>#N/A</v>
      </c>
      <c r="W10" s="419">
        <f aca="true" t="shared" si="12" ref="W10:W19">+W9+1</f>
        <v>5</v>
      </c>
      <c r="Y10" s="6">
        <f t="shared" si="3"/>
        <v>0</v>
      </c>
      <c r="AA10" s="87">
        <f>DATE(2017,4,1)</f>
        <v>42826</v>
      </c>
      <c r="AB10" s="79">
        <f>+AB9</f>
        <v>15000</v>
      </c>
      <c r="AC10" s="79">
        <f>+I11</f>
        <v>2200</v>
      </c>
      <c r="AD10" s="80">
        <f>ROUND((+AB10+AC10)*AD6,0)</f>
        <v>23392</v>
      </c>
      <c r="AE10" s="80">
        <f>ROUND((+AB10+AC10)*AE6,0)</f>
        <v>22704</v>
      </c>
      <c r="AF10" s="86">
        <f>+AD10-AE10</f>
        <v>688</v>
      </c>
      <c r="AG10" s="108"/>
      <c r="AH10" s="108"/>
      <c r="AI10" s="125">
        <f t="shared" si="0"/>
        <v>43192</v>
      </c>
      <c r="AJ10" s="108"/>
      <c r="AK10" s="108"/>
      <c r="AL10" s="108"/>
      <c r="AM10" s="108"/>
      <c r="AN10" s="141">
        <f>+AN8+AN9</f>
        <v>1095</v>
      </c>
      <c r="AO10" s="108"/>
      <c r="AP10" s="108"/>
      <c r="AQ10" s="108"/>
      <c r="AR10" s="108"/>
      <c r="AS10" s="108"/>
      <c r="AT10" s="108"/>
      <c r="AU10" s="108"/>
      <c r="AV10" s="108"/>
      <c r="AW10" s="108" t="s">
        <v>8</v>
      </c>
      <c r="AX10" s="134" t="s">
        <v>299</v>
      </c>
      <c r="AY10" s="135"/>
      <c r="AZ10" s="108"/>
      <c r="BA10" s="108"/>
      <c r="BB10" s="386">
        <v>8190</v>
      </c>
      <c r="BC10" s="386">
        <v>800</v>
      </c>
      <c r="BD10" s="386"/>
      <c r="BE10" s="387">
        <v>16001</v>
      </c>
      <c r="BF10" s="387">
        <v>600</v>
      </c>
      <c r="BG10" s="108"/>
      <c r="BH10" s="108"/>
      <c r="BI10" s="137"/>
      <c r="BL10">
        <f t="shared" si="4"/>
        <v>15000</v>
      </c>
      <c r="BM10">
        <f t="shared" si="4"/>
        <v>2200</v>
      </c>
      <c r="BN10">
        <f t="shared" si="5"/>
        <v>17200</v>
      </c>
      <c r="BO10">
        <f t="shared" si="6"/>
        <v>2000</v>
      </c>
      <c r="BP10">
        <f t="shared" si="7"/>
        <v>600</v>
      </c>
      <c r="BR10">
        <v>8190</v>
      </c>
      <c r="BS10">
        <v>800</v>
      </c>
      <c r="BU10" s="385">
        <v>16001</v>
      </c>
      <c r="BV10" s="385">
        <v>600</v>
      </c>
    </row>
    <row r="11" spans="1:71" ht="17.25" customHeight="1" thickBot="1">
      <c r="A11" s="1058"/>
      <c r="B11" s="602" t="str">
        <f>+'IT-STATEMENT-2017-2018'!B11</f>
        <v>N</v>
      </c>
      <c r="F11" s="43">
        <f aca="true" t="shared" si="13" ref="F11:F19">+F10</f>
        <v>1.36</v>
      </c>
      <c r="G11" s="650">
        <f>DATE(2017,6,1)</f>
        <v>42887</v>
      </c>
      <c r="H11" s="658">
        <f>+H10</f>
        <v>15000</v>
      </c>
      <c r="I11" s="652">
        <f t="shared" si="8"/>
        <v>2200</v>
      </c>
      <c r="J11" s="653">
        <f t="shared" si="9"/>
        <v>23392</v>
      </c>
      <c r="K11" s="652">
        <f t="shared" si="2"/>
        <v>2000</v>
      </c>
      <c r="L11" s="652">
        <f t="shared" si="2"/>
        <v>600</v>
      </c>
      <c r="M11" s="654">
        <f t="shared" si="10"/>
        <v>0</v>
      </c>
      <c r="N11" s="655">
        <f t="shared" si="1"/>
        <v>43192</v>
      </c>
      <c r="O11" s="645">
        <f>+'IT-STATEMENT-2017-2018'!O11</f>
        <v>0</v>
      </c>
      <c r="P11" s="646">
        <f>+'IT-STATEMENT-2017-2018'!P11</f>
        <v>0</v>
      </c>
      <c r="Q11" s="647">
        <f>+'IT-STATEMENT-2017-2018'!Q11</f>
        <v>0</v>
      </c>
      <c r="R11" s="647">
        <f>+'IT-STATEMENT-2017-2018'!R11</f>
        <v>0</v>
      </c>
      <c r="S11" s="647">
        <f>+'IT-STATEMENT-2017-2018'!S11</f>
        <v>0</v>
      </c>
      <c r="T11" s="652"/>
      <c r="U11" s="648">
        <f>+'IT-STATEMENT-2017-2018'!U11</f>
        <v>0</v>
      </c>
      <c r="V11" s="656" t="e">
        <f t="shared" si="11"/>
        <v>#N/A</v>
      </c>
      <c r="W11" s="419">
        <f t="shared" si="12"/>
        <v>6</v>
      </c>
      <c r="Y11" s="6">
        <f t="shared" si="3"/>
        <v>0</v>
      </c>
      <c r="AA11" s="88" t="s">
        <v>30</v>
      </c>
      <c r="AB11" s="142" t="str">
        <f>+G22</f>
        <v> </v>
      </c>
      <c r="AC11" s="58"/>
      <c r="AD11" s="58"/>
      <c r="AE11" s="58"/>
      <c r="AF11" s="86" t="e">
        <f>VLOOKUP(+G21,AE17:AF20,2)</f>
        <v>#N/A</v>
      </c>
      <c r="AG11" s="108"/>
      <c r="AH11" s="108"/>
      <c r="AI11" s="125">
        <f t="shared" si="0"/>
        <v>44619</v>
      </c>
      <c r="AJ11" s="108"/>
      <c r="AK11" s="108"/>
      <c r="AL11" s="108"/>
      <c r="AM11" s="108"/>
      <c r="AN11" s="137"/>
      <c r="AO11" s="108"/>
      <c r="AP11" s="108"/>
      <c r="AQ11" s="108"/>
      <c r="AR11" s="108"/>
      <c r="AS11" s="108"/>
      <c r="AT11" s="108"/>
      <c r="AU11" s="143" t="e">
        <f>+AS7+AT8</f>
        <v>#N/A</v>
      </c>
      <c r="AV11" s="108"/>
      <c r="AW11" s="108"/>
      <c r="AX11" s="135"/>
      <c r="AY11" s="135"/>
      <c r="AZ11" s="108"/>
      <c r="BA11" s="108"/>
      <c r="BB11" s="386">
        <v>9300</v>
      </c>
      <c r="BC11" s="386">
        <v>1000</v>
      </c>
      <c r="BD11" s="386"/>
      <c r="BE11" s="386"/>
      <c r="BF11" s="386"/>
      <c r="BG11" s="108"/>
      <c r="BH11" s="108"/>
      <c r="BI11" s="137"/>
      <c r="BL11">
        <f t="shared" si="4"/>
        <v>15000</v>
      </c>
      <c r="BM11">
        <f t="shared" si="4"/>
        <v>2200</v>
      </c>
      <c r="BN11">
        <f t="shared" si="5"/>
        <v>17200</v>
      </c>
      <c r="BO11">
        <f t="shared" si="6"/>
        <v>2000</v>
      </c>
      <c r="BP11">
        <f t="shared" si="7"/>
        <v>600</v>
      </c>
      <c r="BR11">
        <v>9300</v>
      </c>
      <c r="BS11">
        <v>1000</v>
      </c>
    </row>
    <row r="12" spans="1:71" ht="15.75" thickBot="1">
      <c r="A12" s="660" t="s">
        <v>338</v>
      </c>
      <c r="B12" s="661">
        <v>0</v>
      </c>
      <c r="F12" s="43">
        <f t="shared" si="13"/>
        <v>1.36</v>
      </c>
      <c r="G12" s="650">
        <f>DATE(2017,7,1)</f>
        <v>42917</v>
      </c>
      <c r="H12" s="651">
        <f>IF($B$8&lt;7,$H$11,IF($B$8=7,$H$11+$B$7,IF($B$8&gt;7,$H$11)))</f>
        <v>15000</v>
      </c>
      <c r="I12" s="652">
        <f t="shared" si="8"/>
        <v>2200</v>
      </c>
      <c r="J12" s="653">
        <f t="shared" si="9"/>
        <v>23392</v>
      </c>
      <c r="K12" s="652">
        <f t="shared" si="2"/>
        <v>2000</v>
      </c>
      <c r="L12" s="652">
        <f t="shared" si="2"/>
        <v>600</v>
      </c>
      <c r="M12" s="654">
        <f t="shared" si="10"/>
        <v>0</v>
      </c>
      <c r="N12" s="655">
        <f t="shared" si="1"/>
        <v>43192</v>
      </c>
      <c r="O12" s="645">
        <f>+'IT-STATEMENT-2017-2018'!O12</f>
        <v>0</v>
      </c>
      <c r="P12" s="646">
        <f>+'IT-STATEMENT-2017-2018'!P12</f>
        <v>0</v>
      </c>
      <c r="Q12" s="647">
        <f>+'IT-STATEMENT-2017-2018'!Q12</f>
        <v>0</v>
      </c>
      <c r="R12" s="647">
        <f>+'IT-STATEMENT-2017-2018'!R12</f>
        <v>0</v>
      </c>
      <c r="S12" s="647">
        <f>+'IT-STATEMENT-2017-2018'!S12</f>
        <v>0</v>
      </c>
      <c r="T12" s="652"/>
      <c r="U12" s="648">
        <f>+'IT-STATEMENT-2017-2018'!U12</f>
        <v>0</v>
      </c>
      <c r="V12" s="656" t="e">
        <f t="shared" si="11"/>
        <v>#N/A</v>
      </c>
      <c r="W12" s="419">
        <f t="shared" si="12"/>
        <v>7</v>
      </c>
      <c r="Y12" s="6">
        <f t="shared" si="3"/>
        <v>0</v>
      </c>
      <c r="AA12" s="1026" t="s">
        <v>68</v>
      </c>
      <c r="AB12" s="1027"/>
      <c r="AC12" s="90"/>
      <c r="AD12" s="90"/>
      <c r="AE12" s="90"/>
      <c r="AF12" s="94" t="e">
        <f>SUM(AF7:AF11)</f>
        <v>#N/A</v>
      </c>
      <c r="AG12" s="108"/>
      <c r="AH12" s="108"/>
      <c r="AI12" s="249">
        <f>SUM(AI6:AI11)</f>
        <v>260579</v>
      </c>
      <c r="AJ12" s="139"/>
      <c r="AK12" s="144" t="s">
        <v>4</v>
      </c>
      <c r="AL12" s="145">
        <f>+N14</f>
        <v>43192</v>
      </c>
      <c r="AM12" s="145">
        <f>+AI12</f>
        <v>260579</v>
      </c>
      <c r="AN12" s="128">
        <f>IF(AM12&lt;21000,0,IF(AM12&lt;30000,100,IF(AM12&lt;45000,235,IF(AM12&lt;60000,510,IF(AM12&lt;75000,760,1095)))))</f>
        <v>1095</v>
      </c>
      <c r="AO12" s="108"/>
      <c r="AP12" s="108"/>
      <c r="AQ12" s="108"/>
      <c r="AR12" s="108"/>
      <c r="AS12" s="108"/>
      <c r="AT12" s="108"/>
      <c r="AU12" s="108"/>
      <c r="AV12" s="108"/>
      <c r="AW12" s="108" t="s">
        <v>6</v>
      </c>
      <c r="AX12" s="146" t="e">
        <f>IF(AX21&gt;250000,250000,IF(AND(AX21&lt;250001),AX21,0))</f>
        <v>#N/A</v>
      </c>
      <c r="AY12" s="135"/>
      <c r="AZ12" s="108">
        <v>500000</v>
      </c>
      <c r="BA12" s="108"/>
      <c r="BB12" s="386">
        <v>10600</v>
      </c>
      <c r="BC12" s="386">
        <v>1200</v>
      </c>
      <c r="BD12" s="386"/>
      <c r="BE12" s="386"/>
      <c r="BF12" s="386"/>
      <c r="BG12" s="108"/>
      <c r="BH12" s="108"/>
      <c r="BI12" s="137"/>
      <c r="BL12">
        <f t="shared" si="4"/>
        <v>15000</v>
      </c>
      <c r="BM12">
        <f t="shared" si="4"/>
        <v>2200</v>
      </c>
      <c r="BN12">
        <f t="shared" si="5"/>
        <v>17200</v>
      </c>
      <c r="BO12">
        <f t="shared" si="6"/>
        <v>2000</v>
      </c>
      <c r="BP12">
        <f t="shared" si="7"/>
        <v>600</v>
      </c>
      <c r="BR12">
        <v>10600</v>
      </c>
      <c r="BS12">
        <v>1200</v>
      </c>
    </row>
    <row r="13" spans="1:71" ht="15.75" thickBot="1">
      <c r="A13" s="104" t="s">
        <v>283</v>
      </c>
      <c r="B13" s="661">
        <f>+'IT-STATEMENT-2017-2018'!B15</f>
        <v>0</v>
      </c>
      <c r="F13" s="43">
        <f t="shared" si="13"/>
        <v>1.36</v>
      </c>
      <c r="G13" s="650">
        <f>DATE(2017,8,1)</f>
        <v>42948</v>
      </c>
      <c r="H13" s="658">
        <f aca="true" t="shared" si="14" ref="H13:H19">+H12</f>
        <v>15000</v>
      </c>
      <c r="I13" s="652">
        <f t="shared" si="8"/>
        <v>2200</v>
      </c>
      <c r="J13" s="653">
        <f t="shared" si="9"/>
        <v>23392</v>
      </c>
      <c r="K13" s="652">
        <f t="shared" si="2"/>
        <v>2000</v>
      </c>
      <c r="L13" s="652">
        <f t="shared" si="2"/>
        <v>600</v>
      </c>
      <c r="M13" s="654">
        <f t="shared" si="10"/>
        <v>0</v>
      </c>
      <c r="N13" s="655">
        <f t="shared" si="1"/>
        <v>43192</v>
      </c>
      <c r="O13" s="645">
        <f>+'IT-STATEMENT-2017-2018'!O13</f>
        <v>0</v>
      </c>
      <c r="P13" s="646">
        <f>+'IT-STATEMENT-2017-2018'!P13</f>
        <v>0</v>
      </c>
      <c r="Q13" s="647">
        <f>+'IT-STATEMENT-2017-2018'!Q13</f>
        <v>0</v>
      </c>
      <c r="R13" s="647">
        <f>+'IT-STATEMENT-2017-2018'!R13</f>
        <v>0</v>
      </c>
      <c r="S13" s="647">
        <f>+'IT-STATEMENT-2017-2018'!S13</f>
        <v>0</v>
      </c>
      <c r="T13" s="652">
        <f>+AN10</f>
        <v>1095</v>
      </c>
      <c r="U13" s="648">
        <f>+'IT-STATEMENT-2017-2018'!U13</f>
        <v>0</v>
      </c>
      <c r="V13" s="656" t="e">
        <f t="shared" si="11"/>
        <v>#N/A</v>
      </c>
      <c r="W13" s="419">
        <f t="shared" si="12"/>
        <v>8</v>
      </c>
      <c r="Y13" s="6">
        <f t="shared" si="3"/>
        <v>0</v>
      </c>
      <c r="AA13" s="55"/>
      <c r="AB13" s="1"/>
      <c r="AC13" s="1"/>
      <c r="AD13" s="1"/>
      <c r="AE13" s="1"/>
      <c r="AF13" s="34"/>
      <c r="AG13" s="108"/>
      <c r="AH13" s="108"/>
      <c r="AI13" s="147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 t="s">
        <v>8</v>
      </c>
      <c r="AX13" s="146" t="e">
        <f>IF(AX21&gt;250000,250000,IF(AND(AX21&lt;250001),AX21,0))</f>
        <v>#N/A</v>
      </c>
      <c r="AY13" s="135"/>
      <c r="AZ13" s="108">
        <v>250000</v>
      </c>
      <c r="BA13" s="108"/>
      <c r="BB13" s="386">
        <v>11900</v>
      </c>
      <c r="BC13" s="386">
        <v>1400</v>
      </c>
      <c r="BD13" s="386"/>
      <c r="BE13" s="386"/>
      <c r="BF13" s="386"/>
      <c r="BG13" s="108"/>
      <c r="BH13" s="108"/>
      <c r="BI13" s="137"/>
      <c r="BL13">
        <f t="shared" si="4"/>
        <v>15000</v>
      </c>
      <c r="BM13">
        <f t="shared" si="4"/>
        <v>2200</v>
      </c>
      <c r="BN13">
        <f t="shared" si="5"/>
        <v>17200</v>
      </c>
      <c r="BO13">
        <f t="shared" si="6"/>
        <v>2000</v>
      </c>
      <c r="BP13">
        <f t="shared" si="7"/>
        <v>600</v>
      </c>
      <c r="BR13">
        <v>11900</v>
      </c>
      <c r="BS13">
        <v>1400</v>
      </c>
    </row>
    <row r="14" spans="1:71" ht="15.75" thickBot="1">
      <c r="A14" s="15"/>
      <c r="B14" s="661">
        <f>+'IT-STATEMENT-2017-2018'!B16</f>
        <v>0</v>
      </c>
      <c r="F14" s="43">
        <f t="shared" si="13"/>
        <v>1.36</v>
      </c>
      <c r="G14" s="650">
        <f>DATE(2017,9,1)</f>
        <v>42979</v>
      </c>
      <c r="H14" s="658">
        <f t="shared" si="14"/>
        <v>15000</v>
      </c>
      <c r="I14" s="652">
        <f t="shared" si="8"/>
        <v>2200</v>
      </c>
      <c r="J14" s="653">
        <f t="shared" si="9"/>
        <v>23392</v>
      </c>
      <c r="K14" s="652">
        <f t="shared" si="2"/>
        <v>2000</v>
      </c>
      <c r="L14" s="652">
        <f t="shared" si="2"/>
        <v>600</v>
      </c>
      <c r="M14" s="654">
        <f t="shared" si="10"/>
        <v>0</v>
      </c>
      <c r="N14" s="655">
        <f t="shared" si="1"/>
        <v>43192</v>
      </c>
      <c r="O14" s="645">
        <f>+'IT-STATEMENT-2017-2018'!O14</f>
        <v>0</v>
      </c>
      <c r="P14" s="646">
        <f>+'IT-STATEMENT-2017-2018'!P14</f>
        <v>0</v>
      </c>
      <c r="Q14" s="647">
        <f>+'IT-STATEMENT-2017-2018'!Q14</f>
        <v>0</v>
      </c>
      <c r="R14" s="647">
        <f>+'IT-STATEMENT-2017-2018'!R14</f>
        <v>0</v>
      </c>
      <c r="S14" s="647">
        <f>+'IT-STATEMENT-2017-2018'!S14</f>
        <v>0</v>
      </c>
      <c r="T14" s="652"/>
      <c r="U14" s="648">
        <f>+'IT-STATEMENT-2017-2018'!U14</f>
        <v>0</v>
      </c>
      <c r="V14" s="656" t="e">
        <f t="shared" si="11"/>
        <v>#N/A</v>
      </c>
      <c r="W14" s="419">
        <f t="shared" si="12"/>
        <v>9</v>
      </c>
      <c r="X14" s="10"/>
      <c r="Y14" s="6">
        <f t="shared" si="3"/>
        <v>0</v>
      </c>
      <c r="AA14" s="91"/>
      <c r="AB14" s="92"/>
      <c r="AC14" s="242"/>
      <c r="AD14" s="242"/>
      <c r="AE14" s="242"/>
      <c r="AF14" s="93"/>
      <c r="AG14" s="108"/>
      <c r="AH14" s="108"/>
      <c r="AI14" s="147"/>
      <c r="AJ14" s="26">
        <f>IF($B$14=0,0,VLOOKUP($G$21,$G$8:$L$17,2)/$B$14)</f>
        <v>0</v>
      </c>
      <c r="AK14" s="108"/>
      <c r="AL14" s="248">
        <f>IF($B$17=0,0,VLOOKUP($G$22,$G$18:$L$19,2)/$B$17)</f>
        <v>0</v>
      </c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>
        <f>+AZ12-AZ13</f>
        <v>250000</v>
      </c>
      <c r="BA14" s="108"/>
      <c r="BB14" s="386">
        <v>13770</v>
      </c>
      <c r="BC14" s="386">
        <v>1600</v>
      </c>
      <c r="BD14" s="386"/>
      <c r="BE14" s="386"/>
      <c r="BF14" s="386"/>
      <c r="BG14" s="108"/>
      <c r="BH14" s="108"/>
      <c r="BI14" s="137"/>
      <c r="BL14">
        <f t="shared" si="4"/>
        <v>15000</v>
      </c>
      <c r="BM14">
        <f t="shared" si="4"/>
        <v>2200</v>
      </c>
      <c r="BN14">
        <f t="shared" si="5"/>
        <v>17200</v>
      </c>
      <c r="BO14">
        <f t="shared" si="6"/>
        <v>2000</v>
      </c>
      <c r="BP14">
        <f t="shared" si="7"/>
        <v>600</v>
      </c>
      <c r="BR14">
        <v>13770</v>
      </c>
      <c r="BS14">
        <v>1600</v>
      </c>
    </row>
    <row r="15" spans="1:71" ht="16.5" thickBot="1">
      <c r="A15" s="15"/>
      <c r="B15" s="22"/>
      <c r="F15" s="43">
        <f t="shared" si="13"/>
        <v>1.36</v>
      </c>
      <c r="G15" s="650">
        <f>DATE(2017,10,1)</f>
        <v>43009</v>
      </c>
      <c r="H15" s="651">
        <f>IF($B$8&lt;10,$H$14,IF($B$8=10,$H$14+$B$7,IF($B$8&gt;10,$H$14)))</f>
        <v>15000</v>
      </c>
      <c r="I15" s="652">
        <f t="shared" si="8"/>
        <v>2200</v>
      </c>
      <c r="J15" s="653">
        <f t="shared" si="9"/>
        <v>23392</v>
      </c>
      <c r="K15" s="652">
        <f t="shared" si="2"/>
        <v>2000</v>
      </c>
      <c r="L15" s="652">
        <f t="shared" si="2"/>
        <v>600</v>
      </c>
      <c r="M15" s="654">
        <f t="shared" si="10"/>
        <v>0</v>
      </c>
      <c r="N15" s="655">
        <f t="shared" si="1"/>
        <v>43192</v>
      </c>
      <c r="O15" s="645">
        <f>+'IT-STATEMENT-2017-2018'!O15</f>
        <v>0</v>
      </c>
      <c r="P15" s="646">
        <f>+'IT-STATEMENT-2017-2018'!P15</f>
        <v>0</v>
      </c>
      <c r="Q15" s="647">
        <f>+'IT-STATEMENT-2017-2018'!Q15</f>
        <v>0</v>
      </c>
      <c r="R15" s="647">
        <f>+'IT-STATEMENT-2017-2018'!R15</f>
        <v>0</v>
      </c>
      <c r="S15" s="647">
        <f>+'IT-STATEMENT-2017-2018'!S15</f>
        <v>0</v>
      </c>
      <c r="T15" s="652"/>
      <c r="U15" s="648">
        <f>+'IT-STATEMENT-2017-2018'!U15</f>
        <v>0</v>
      </c>
      <c r="V15" s="656" t="e">
        <f t="shared" si="11"/>
        <v>#N/A</v>
      </c>
      <c r="W15" s="419">
        <f t="shared" si="12"/>
        <v>10</v>
      </c>
      <c r="Y15" s="6">
        <f t="shared" si="3"/>
        <v>0</v>
      </c>
      <c r="AA15" s="239"/>
      <c r="AB15" s="241"/>
      <c r="AC15" s="243"/>
      <c r="AD15" s="243"/>
      <c r="AE15" s="244"/>
      <c r="AF15" s="148"/>
      <c r="AG15" s="108"/>
      <c r="AH15" s="108"/>
      <c r="AI15" s="147"/>
      <c r="AJ15" s="26">
        <f>IF($B$14=0,0,VLOOKUP($G$21,$G$8:$L$17,3)/$B$14)</f>
        <v>0</v>
      </c>
      <c r="AK15" s="108"/>
      <c r="AL15" s="26">
        <f>IF($B$17=0,0,VLOOKUP($G$22,$G$18:$L$19,3)/$B$17)</f>
        <v>0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386">
        <v>14510</v>
      </c>
      <c r="BC15" s="386">
        <v>1800</v>
      </c>
      <c r="BD15" s="386"/>
      <c r="BE15" s="386"/>
      <c r="BF15" s="386"/>
      <c r="BG15" s="108"/>
      <c r="BH15" s="108"/>
      <c r="BI15" s="137"/>
      <c r="BL15">
        <f t="shared" si="4"/>
        <v>15000</v>
      </c>
      <c r="BM15">
        <f t="shared" si="4"/>
        <v>2200</v>
      </c>
      <c r="BN15">
        <f t="shared" si="5"/>
        <v>17200</v>
      </c>
      <c r="BO15">
        <f t="shared" si="6"/>
        <v>2000</v>
      </c>
      <c r="BP15">
        <f t="shared" si="7"/>
        <v>600</v>
      </c>
      <c r="BR15">
        <v>14510</v>
      </c>
      <c r="BS15">
        <v>1800</v>
      </c>
    </row>
    <row r="16" spans="1:71" ht="15.75">
      <c r="A16" s="104" t="s">
        <v>295</v>
      </c>
      <c r="B16" s="661">
        <f>+'IT-STATEMENT-2017-2018'!B18</f>
        <v>0</v>
      </c>
      <c r="F16" s="43">
        <f t="shared" si="13"/>
        <v>1.36</v>
      </c>
      <c r="G16" s="650">
        <f>DATE(2017,11,1)</f>
        <v>43040</v>
      </c>
      <c r="H16" s="658">
        <f t="shared" si="14"/>
        <v>15000</v>
      </c>
      <c r="I16" s="652">
        <f t="shared" si="8"/>
        <v>2200</v>
      </c>
      <c r="J16" s="653">
        <f t="shared" si="9"/>
        <v>23392</v>
      </c>
      <c r="K16" s="652">
        <f t="shared" si="2"/>
        <v>2000</v>
      </c>
      <c r="L16" s="652">
        <f t="shared" si="2"/>
        <v>600</v>
      </c>
      <c r="M16" s="654">
        <f t="shared" si="10"/>
        <v>0</v>
      </c>
      <c r="N16" s="655">
        <f t="shared" si="1"/>
        <v>43192</v>
      </c>
      <c r="O16" s="645">
        <f>+'IT-STATEMENT-2017-2018'!O16</f>
        <v>0</v>
      </c>
      <c r="P16" s="646">
        <f>+'IT-STATEMENT-2017-2018'!P16</f>
        <v>0</v>
      </c>
      <c r="Q16" s="647">
        <f>+'IT-STATEMENT-2017-2018'!Q16</f>
        <v>0</v>
      </c>
      <c r="R16" s="647">
        <f>+'IT-STATEMENT-2017-2018'!R16</f>
        <v>0</v>
      </c>
      <c r="S16" s="647">
        <f>+'IT-STATEMENT-2017-2018'!S16</f>
        <v>0</v>
      </c>
      <c r="T16" s="652"/>
      <c r="U16" s="648">
        <f>+'IT-STATEMENT-2017-2018'!U16</f>
        <v>1200</v>
      </c>
      <c r="V16" s="656" t="e">
        <f t="shared" si="11"/>
        <v>#N/A</v>
      </c>
      <c r="W16" s="662">
        <f t="shared" si="12"/>
        <v>11</v>
      </c>
      <c r="Y16" s="6">
        <f t="shared" si="3"/>
        <v>1200</v>
      </c>
      <c r="AA16" s="25" t="str">
        <f>IF($B$16=0," ",DATE(2016,$B$16,1))</f>
        <v> </v>
      </c>
      <c r="AB16" s="26"/>
      <c r="AC16" s="240"/>
      <c r="AD16" s="240"/>
      <c r="AE16" s="26">
        <f>IF($B17=0,0,VLOOKUP($AA16,$AA7:$AF7,6)/$B$17)</f>
        <v>0</v>
      </c>
      <c r="AF16" s="149">
        <v>0</v>
      </c>
      <c r="AG16" s="108"/>
      <c r="AH16" s="108"/>
      <c r="AI16" s="147"/>
      <c r="AJ16" s="26">
        <f>IF($B$14=0,0,VLOOKUP($G$21,$G$8:$L$17,4)/$B$14)</f>
        <v>0</v>
      </c>
      <c r="AK16" s="108"/>
      <c r="AL16" s="26">
        <f>IF($B$17=0,0,VLOOKUP($G$22,$G$18:$L$19,4)/$B$17)</f>
        <v>0</v>
      </c>
      <c r="AM16" s="108"/>
      <c r="AN16" s="199" t="e">
        <f>ROUND(V15/4,0)</f>
        <v>#N/A</v>
      </c>
      <c r="AO16" s="663" t="e">
        <f>CEILING(AN16,100)</f>
        <v>#N/A</v>
      </c>
      <c r="AP16" s="77" t="e">
        <f>ROUNDDOWN(AN16,0.1)</f>
        <v>#N/A</v>
      </c>
      <c r="AQ16" s="108"/>
      <c r="AR16" s="108"/>
      <c r="AS16" s="126">
        <v>9</v>
      </c>
      <c r="AT16" s="150" t="s">
        <v>41</v>
      </c>
      <c r="AU16" s="108"/>
      <c r="AV16" s="108"/>
      <c r="AW16" s="108"/>
      <c r="AX16" s="664" t="e">
        <f>IF(U79&gt;150001,150000,IF(AND(U79&lt;150001),U79))</f>
        <v>#N/A</v>
      </c>
      <c r="AY16" s="108"/>
      <c r="AZ16" s="108"/>
      <c r="BA16" s="108"/>
      <c r="BB16" s="386">
        <v>16000</v>
      </c>
      <c r="BC16" s="386">
        <v>2000</v>
      </c>
      <c r="BD16" s="386"/>
      <c r="BE16" s="386"/>
      <c r="BF16" s="386"/>
      <c r="BG16" s="108"/>
      <c r="BH16" s="108"/>
      <c r="BI16" s="137"/>
      <c r="BL16">
        <f t="shared" si="4"/>
        <v>15000</v>
      </c>
      <c r="BM16">
        <f t="shared" si="4"/>
        <v>2200</v>
      </c>
      <c r="BN16">
        <f t="shared" si="5"/>
        <v>17200</v>
      </c>
      <c r="BO16">
        <f t="shared" si="6"/>
        <v>2000</v>
      </c>
      <c r="BP16">
        <f t="shared" si="7"/>
        <v>600</v>
      </c>
      <c r="BR16">
        <v>16000</v>
      </c>
      <c r="BS16">
        <v>2000</v>
      </c>
    </row>
    <row r="17" spans="1:71" ht="15">
      <c r="A17" s="15"/>
      <c r="B17" s="661">
        <f>+'IT-STATEMENT-2017-2018'!B19</f>
        <v>0</v>
      </c>
      <c r="F17" s="43">
        <f t="shared" si="13"/>
        <v>1.36</v>
      </c>
      <c r="G17" s="650">
        <f>DATE(2017,12,1)</f>
        <v>43070</v>
      </c>
      <c r="H17" s="658">
        <f>+H16</f>
        <v>15000</v>
      </c>
      <c r="I17" s="652">
        <f t="shared" si="8"/>
        <v>2200</v>
      </c>
      <c r="J17" s="653">
        <f t="shared" si="9"/>
        <v>23392</v>
      </c>
      <c r="K17" s="652">
        <f t="shared" si="2"/>
        <v>2000</v>
      </c>
      <c r="L17" s="652">
        <f t="shared" si="2"/>
        <v>600</v>
      </c>
      <c r="M17" s="654">
        <f t="shared" si="10"/>
        <v>0</v>
      </c>
      <c r="N17" s="655">
        <f t="shared" si="1"/>
        <v>43192</v>
      </c>
      <c r="O17" s="645">
        <f>+'IT-STATEMENT-2017-2018'!O17</f>
        <v>0</v>
      </c>
      <c r="P17" s="646">
        <f>+'IT-STATEMENT-2017-2018'!P17</f>
        <v>0</v>
      </c>
      <c r="Q17" s="647">
        <f>+'IT-STATEMENT-2017-2018'!Q17</f>
        <v>0</v>
      </c>
      <c r="R17" s="647">
        <f>+'IT-STATEMENT-2017-2018'!R17</f>
        <v>0</v>
      </c>
      <c r="S17" s="647">
        <f>+'IT-STATEMENT-2017-2018'!S17</f>
        <v>0</v>
      </c>
      <c r="T17" s="652"/>
      <c r="U17" s="648">
        <f>+'IT-STATEMENT-2017-2018'!U17</f>
        <v>1200</v>
      </c>
      <c r="V17" s="665" t="e">
        <f t="shared" si="11"/>
        <v>#N/A</v>
      </c>
      <c r="W17" s="419">
        <f t="shared" si="12"/>
        <v>12</v>
      </c>
      <c r="Y17" s="6">
        <f t="shared" si="3"/>
        <v>1200</v>
      </c>
      <c r="AA17" s="157">
        <v>1</v>
      </c>
      <c r="AB17" s="236">
        <f>DATE(2017,1,1)</f>
        <v>42736</v>
      </c>
      <c r="AC17" s="240"/>
      <c r="AD17" s="240"/>
      <c r="AE17" s="246">
        <f>DATE(2017,1,1)</f>
        <v>42736</v>
      </c>
      <c r="AF17" s="153">
        <f>ROUND(+AF7/2,0)</f>
        <v>344</v>
      </c>
      <c r="AG17" s="108"/>
      <c r="AH17" s="108"/>
      <c r="AI17" s="147"/>
      <c r="AJ17" s="26">
        <f>IF($B$14=0,0,VLOOKUP($G$21,$G$8:$L$17,5)/$B$14)</f>
        <v>0</v>
      </c>
      <c r="AK17" s="108"/>
      <c r="AL17" s="26">
        <f>IF($B$17=0,0,VLOOKUP($G$22,$G$18:$L$19,5)/$B$17)</f>
        <v>0</v>
      </c>
      <c r="AM17" s="108"/>
      <c r="AN17" s="199" t="e">
        <f>ROUND(V16/3,0)</f>
        <v>#N/A</v>
      </c>
      <c r="AO17" s="663" t="e">
        <f>CEILING(AN17,100)</f>
        <v>#N/A</v>
      </c>
      <c r="AP17" s="108"/>
      <c r="AQ17" s="108"/>
      <c r="AR17" s="108"/>
      <c r="AS17" s="154" t="s">
        <v>83</v>
      </c>
      <c r="AT17" s="134" t="s">
        <v>82</v>
      </c>
      <c r="AU17" s="134"/>
      <c r="AV17" s="134"/>
      <c r="AW17" s="135"/>
      <c r="AX17" s="155">
        <f>+U205</f>
        <v>0</v>
      </c>
      <c r="AY17" s="108"/>
      <c r="AZ17" s="108"/>
      <c r="BA17" s="108"/>
      <c r="BB17" s="386">
        <v>17300</v>
      </c>
      <c r="BC17" s="386">
        <v>2200</v>
      </c>
      <c r="BD17" s="386"/>
      <c r="BE17" s="386"/>
      <c r="BF17" s="386"/>
      <c r="BG17" s="108"/>
      <c r="BH17" s="108"/>
      <c r="BI17" s="137"/>
      <c r="BL17">
        <f t="shared" si="4"/>
        <v>15000</v>
      </c>
      <c r="BM17">
        <f t="shared" si="4"/>
        <v>2200</v>
      </c>
      <c r="BN17">
        <f t="shared" si="5"/>
        <v>17200</v>
      </c>
      <c r="BO17">
        <f t="shared" si="6"/>
        <v>2000</v>
      </c>
      <c r="BP17">
        <f t="shared" si="7"/>
        <v>600</v>
      </c>
      <c r="BR17">
        <v>17300</v>
      </c>
      <c r="BS17">
        <v>2200</v>
      </c>
    </row>
    <row r="18" spans="6:71" ht="15">
      <c r="F18" s="43">
        <f t="shared" si="13"/>
        <v>1.36</v>
      </c>
      <c r="G18" s="650">
        <f>DATE(2018,1,1)</f>
        <v>43101</v>
      </c>
      <c r="H18" s="658">
        <f>IF($B$8&lt;1,$H$17,IF($B$8=1,$H$17+$B$7,IF($B$8&gt;1,$H$17)))</f>
        <v>15520</v>
      </c>
      <c r="I18" s="652">
        <f t="shared" si="8"/>
        <v>2200</v>
      </c>
      <c r="J18" s="653">
        <f t="shared" si="9"/>
        <v>24099</v>
      </c>
      <c r="K18" s="652">
        <f t="shared" si="2"/>
        <v>2200</v>
      </c>
      <c r="L18" s="652">
        <f t="shared" si="2"/>
        <v>600</v>
      </c>
      <c r="M18" s="654">
        <f t="shared" si="10"/>
        <v>0</v>
      </c>
      <c r="N18" s="655">
        <f t="shared" si="1"/>
        <v>44619</v>
      </c>
      <c r="O18" s="645">
        <f>+'IT-STATEMENT-2017-2018'!O18</f>
        <v>0</v>
      </c>
      <c r="P18" s="646">
        <f>+'IT-STATEMENT-2017-2018'!P18</f>
        <v>0</v>
      </c>
      <c r="Q18" s="647">
        <f>+'IT-STATEMENT-2017-2018'!Q18</f>
        <v>0</v>
      </c>
      <c r="R18" s="647">
        <f>+'IT-STATEMENT-2017-2018'!R18</f>
        <v>0</v>
      </c>
      <c r="S18" s="647">
        <f>+'IT-STATEMENT-2017-2018'!S18</f>
        <v>0</v>
      </c>
      <c r="T18" s="652">
        <f>+AN12</f>
        <v>1095</v>
      </c>
      <c r="U18" s="648">
        <f>+'IT-STATEMENT-2017-2018'!U18</f>
        <v>1100</v>
      </c>
      <c r="V18" s="665" t="e">
        <f t="shared" si="11"/>
        <v>#N/A</v>
      </c>
      <c r="W18" s="420">
        <v>1</v>
      </c>
      <c r="Y18" s="6">
        <f t="shared" si="3"/>
        <v>1100</v>
      </c>
      <c r="AA18" s="157">
        <v>2</v>
      </c>
      <c r="AB18" s="236">
        <f>DATE(2017,2,1)</f>
        <v>42767</v>
      </c>
      <c r="AC18" s="240"/>
      <c r="AD18" s="240"/>
      <c r="AE18" s="246">
        <f>DATE(2017,2,1)</f>
        <v>42767</v>
      </c>
      <c r="AF18" s="153">
        <f>ROUND(+AF8/2,0)</f>
        <v>344</v>
      </c>
      <c r="AG18" s="108"/>
      <c r="AH18" s="108"/>
      <c r="AI18" s="147"/>
      <c r="AJ18" s="26">
        <f>IF($B$14=0,0,VLOOKUP($G$21,$G$8:$L$17,6)/$B$14)</f>
        <v>0</v>
      </c>
      <c r="AK18" s="108"/>
      <c r="AL18" s="248">
        <f>IF($B$17=0,0,VLOOKUP($G$22,$G$18:$L$19,6)/$B$17)</f>
        <v>0</v>
      </c>
      <c r="AM18" s="108"/>
      <c r="AN18" s="199" t="e">
        <f>ROUND(V17/2,0)</f>
        <v>#N/A</v>
      </c>
      <c r="AO18" s="663" t="e">
        <f>CEILING(AN18,100)</f>
        <v>#N/A</v>
      </c>
      <c r="AP18" s="108"/>
      <c r="AQ18" s="108"/>
      <c r="AR18" s="108"/>
      <c r="AS18" s="126"/>
      <c r="AT18" s="150" t="s">
        <v>3</v>
      </c>
      <c r="AU18" s="150"/>
      <c r="AV18" s="150"/>
      <c r="AW18" s="108"/>
      <c r="AX18" s="156" t="e">
        <f>+AX16+AX17</f>
        <v>#N/A</v>
      </c>
      <c r="AY18" s="108"/>
      <c r="AZ18" s="108"/>
      <c r="BA18" s="108"/>
      <c r="BB18" s="386">
        <v>19530</v>
      </c>
      <c r="BC18" s="386">
        <v>2400</v>
      </c>
      <c r="BD18" s="386"/>
      <c r="BE18" s="386"/>
      <c r="BF18" s="386"/>
      <c r="BG18" s="108"/>
      <c r="BH18" s="108"/>
      <c r="BI18" s="137"/>
      <c r="BL18">
        <f t="shared" si="4"/>
        <v>15520</v>
      </c>
      <c r="BM18">
        <f t="shared" si="4"/>
        <v>2200</v>
      </c>
      <c r="BN18">
        <f t="shared" si="5"/>
        <v>17720</v>
      </c>
      <c r="BO18">
        <f t="shared" si="6"/>
        <v>2200</v>
      </c>
      <c r="BP18">
        <f t="shared" si="7"/>
        <v>600</v>
      </c>
      <c r="BR18">
        <v>19530</v>
      </c>
      <c r="BS18">
        <v>2400</v>
      </c>
    </row>
    <row r="19" spans="6:71" ht="15.75" thickBot="1">
      <c r="F19" s="43">
        <f t="shared" si="13"/>
        <v>1.36</v>
      </c>
      <c r="G19" s="650">
        <f>DATE(2018,2,1)</f>
        <v>43132</v>
      </c>
      <c r="H19" s="658">
        <f t="shared" si="14"/>
        <v>15520</v>
      </c>
      <c r="I19" s="652">
        <f t="shared" si="8"/>
        <v>2200</v>
      </c>
      <c r="J19" s="653">
        <f t="shared" si="9"/>
        <v>24099</v>
      </c>
      <c r="K19" s="652">
        <f t="shared" si="2"/>
        <v>2200</v>
      </c>
      <c r="L19" s="652">
        <f t="shared" si="2"/>
        <v>600</v>
      </c>
      <c r="M19" s="654">
        <f t="shared" si="10"/>
        <v>0</v>
      </c>
      <c r="N19" s="655">
        <f t="shared" si="1"/>
        <v>44619</v>
      </c>
      <c r="O19" s="645">
        <f>+'IT-STATEMENT-2017-2018'!O19</f>
        <v>0</v>
      </c>
      <c r="P19" s="646">
        <f>+'IT-STATEMENT-2017-2018'!P19</f>
        <v>0</v>
      </c>
      <c r="Q19" s="647">
        <f>+'IT-STATEMENT-2017-2018'!Q19</f>
        <v>0</v>
      </c>
      <c r="R19" s="647">
        <f>+'IT-STATEMENT-2017-2018'!R19</f>
        <v>0</v>
      </c>
      <c r="S19" s="647">
        <f>+'IT-STATEMENT-2017-2018'!S19</f>
        <v>0</v>
      </c>
      <c r="T19" s="652"/>
      <c r="U19" s="648">
        <f>+'IT-STATEMENT-2017-2018'!U19</f>
        <v>1091</v>
      </c>
      <c r="V19" s="665" t="e">
        <f t="shared" si="11"/>
        <v>#N/A</v>
      </c>
      <c r="W19" s="420">
        <f t="shared" si="12"/>
        <v>2</v>
      </c>
      <c r="Y19" s="666"/>
      <c r="AA19" s="157">
        <v>3</v>
      </c>
      <c r="AB19" s="237">
        <v>0</v>
      </c>
      <c r="AC19" s="240"/>
      <c r="AD19" s="240"/>
      <c r="AE19" s="246">
        <f>DATE(2017,3,1)</f>
        <v>42795</v>
      </c>
      <c r="AF19" s="153">
        <f>ROUND(+AF9/2,0)</f>
        <v>344</v>
      </c>
      <c r="AG19" s="108"/>
      <c r="AH19" s="108"/>
      <c r="AI19" s="147"/>
      <c r="AJ19" s="247">
        <f>SUM(AJ14:AJ18)</f>
        <v>0</v>
      </c>
      <c r="AK19" s="108"/>
      <c r="AL19" s="247">
        <f>SUM(AL14:AL18)</f>
        <v>0</v>
      </c>
      <c r="AM19" s="108"/>
      <c r="AN19" s="199" t="e">
        <f>ROUND(V18/1,0)</f>
        <v>#N/A</v>
      </c>
      <c r="AO19" s="663" t="e">
        <f>CEILING(AN19,100)</f>
        <v>#N/A</v>
      </c>
      <c r="AP19" s="108"/>
      <c r="AQ19" s="108"/>
      <c r="AR19" s="108"/>
      <c r="AS19" s="126">
        <v>10</v>
      </c>
      <c r="AT19" s="150" t="str">
        <f>+H207</f>
        <v>SAVINGS TOTAL</v>
      </c>
      <c r="AU19" s="150"/>
      <c r="AV19" s="150"/>
      <c r="AW19" s="150"/>
      <c r="AX19" s="667" t="e">
        <f>+U78</f>
        <v>#N/A</v>
      </c>
      <c r="AY19" s="108"/>
      <c r="AZ19" s="108"/>
      <c r="BA19" s="108"/>
      <c r="BB19" s="386">
        <v>20090</v>
      </c>
      <c r="BC19" s="386">
        <v>2600</v>
      </c>
      <c r="BD19" s="386"/>
      <c r="BE19" s="386"/>
      <c r="BF19" s="386"/>
      <c r="BG19" s="108"/>
      <c r="BH19" s="108"/>
      <c r="BI19" s="137"/>
      <c r="BL19">
        <f t="shared" si="4"/>
        <v>15520</v>
      </c>
      <c r="BM19">
        <f t="shared" si="4"/>
        <v>2200</v>
      </c>
      <c r="BN19">
        <f t="shared" si="5"/>
        <v>17720</v>
      </c>
      <c r="BO19">
        <f t="shared" si="6"/>
        <v>2200</v>
      </c>
      <c r="BP19">
        <f t="shared" si="7"/>
        <v>600</v>
      </c>
      <c r="BR19">
        <v>20090</v>
      </c>
      <c r="BS19">
        <v>2600</v>
      </c>
    </row>
    <row r="20" spans="6:71" ht="15.75" thickBot="1">
      <c r="F20" s="39"/>
      <c r="G20" s="668" t="s">
        <v>30</v>
      </c>
      <c r="H20" s="659"/>
      <c r="I20" s="652"/>
      <c r="J20" s="652"/>
      <c r="K20" s="652"/>
      <c r="L20" s="652"/>
      <c r="M20" s="654"/>
      <c r="N20" s="655"/>
      <c r="O20" s="659"/>
      <c r="P20" s="652"/>
      <c r="Q20" s="652"/>
      <c r="R20" s="652"/>
      <c r="S20" s="652"/>
      <c r="T20" s="652"/>
      <c r="U20" s="654"/>
      <c r="V20" s="656"/>
      <c r="W20" s="417"/>
      <c r="Y20" s="669">
        <f>SUM(Y8:Y19)</f>
        <v>3500</v>
      </c>
      <c r="AA20" s="157">
        <v>4</v>
      </c>
      <c r="AB20" s="237">
        <v>0</v>
      </c>
      <c r="AC20" s="240"/>
      <c r="AD20" s="240"/>
      <c r="AE20" s="246">
        <f>DATE(2017,4,1)</f>
        <v>42826</v>
      </c>
      <c r="AF20" s="153">
        <f>ROUND(+AF10/2,0)</f>
        <v>344</v>
      </c>
      <c r="AG20" s="108"/>
      <c r="AH20" s="108"/>
      <c r="AI20" s="147"/>
      <c r="AJ20" s="108"/>
      <c r="AK20" s="108"/>
      <c r="AL20" s="108"/>
      <c r="AM20" s="108"/>
      <c r="AN20" s="390">
        <v>0</v>
      </c>
      <c r="AO20" s="390">
        <v>0</v>
      </c>
      <c r="AP20" s="108"/>
      <c r="AQ20" s="108"/>
      <c r="AR20" s="108"/>
      <c r="AS20" s="126">
        <v>11</v>
      </c>
      <c r="AT20" s="150" t="str">
        <f>VLOOKUP(B4,AW6:AX7,2)</f>
        <v>UPTO RS.250000/= (   NIL  )</v>
      </c>
      <c r="AU20" s="150"/>
      <c r="AV20" s="150"/>
      <c r="AW20" s="150"/>
      <c r="AX20" s="161">
        <f>VLOOKUP(B4,AP6:AQ7,2,FALSE)</f>
        <v>250000</v>
      </c>
      <c r="AY20" s="108"/>
      <c r="AZ20" s="108"/>
      <c r="BA20" s="108"/>
      <c r="BB20" s="386">
        <v>21020</v>
      </c>
      <c r="BC20" s="386">
        <v>2800</v>
      </c>
      <c r="BD20" s="386"/>
      <c r="BE20" s="386"/>
      <c r="BF20" s="386"/>
      <c r="BG20" s="108"/>
      <c r="BH20" s="108"/>
      <c r="BI20" s="137"/>
      <c r="BR20">
        <v>21020</v>
      </c>
      <c r="BS20">
        <v>2800</v>
      </c>
    </row>
    <row r="21" spans="6:71" ht="18">
      <c r="F21" s="39"/>
      <c r="G21" s="670" t="str">
        <f>IF($B$13=0," ",DATE(2017,$B$13,1))</f>
        <v> </v>
      </c>
      <c r="H21" s="671"/>
      <c r="I21" s="672"/>
      <c r="J21" s="672"/>
      <c r="K21" s="672"/>
      <c r="L21" s="672"/>
      <c r="M21" s="673"/>
      <c r="N21" s="674">
        <f>+AJ19</f>
        <v>0</v>
      </c>
      <c r="O21" s="659"/>
      <c r="P21" s="652"/>
      <c r="Q21" s="652"/>
      <c r="R21" s="652"/>
      <c r="S21" s="652"/>
      <c r="T21" s="652"/>
      <c r="U21" s="654"/>
      <c r="V21" s="675"/>
      <c r="W21" s="676"/>
      <c r="AA21" s="157">
        <v>5</v>
      </c>
      <c r="AB21" s="237">
        <v>0</v>
      </c>
      <c r="AC21" s="240"/>
      <c r="AD21" s="240"/>
      <c r="AE21" s="238" t="s">
        <v>71</v>
      </c>
      <c r="AF21" s="160">
        <v>1000</v>
      </c>
      <c r="AG21" s="108"/>
      <c r="AH21" s="108"/>
      <c r="AI21" s="147"/>
      <c r="AJ21" s="108"/>
      <c r="AK21" s="108"/>
      <c r="AL21" s="108"/>
      <c r="AM21" s="108"/>
      <c r="AN21" s="79">
        <v>1</v>
      </c>
      <c r="AO21" s="79">
        <f>U19</f>
        <v>1091</v>
      </c>
      <c r="AP21" s="108"/>
      <c r="AQ21" s="108"/>
      <c r="AR21" s="108"/>
      <c r="AS21" s="150"/>
      <c r="AT21" s="150"/>
      <c r="AU21" s="150"/>
      <c r="AV21" s="150"/>
      <c r="AW21" s="150"/>
      <c r="AX21" s="156" t="e">
        <f>+AX19-AX20</f>
        <v>#N/A</v>
      </c>
      <c r="AY21" s="108"/>
      <c r="AZ21" s="108"/>
      <c r="BA21" s="108"/>
      <c r="BB21" s="386">
        <v>21580</v>
      </c>
      <c r="BC21" s="386">
        <v>2900</v>
      </c>
      <c r="BD21" s="386"/>
      <c r="BE21" s="386"/>
      <c r="BF21" s="386"/>
      <c r="BG21" s="108"/>
      <c r="BH21" s="108"/>
      <c r="BI21" s="137"/>
      <c r="BR21">
        <v>21580</v>
      </c>
      <c r="BS21">
        <v>2900</v>
      </c>
    </row>
    <row r="22" spans="6:71" ht="18.75" thickBot="1">
      <c r="F22" s="40"/>
      <c r="G22" s="677" t="str">
        <f>IF($B$16=0," ",DATE(2018,$B$16,1))</f>
        <v> </v>
      </c>
      <c r="H22" s="678"/>
      <c r="I22" s="679"/>
      <c r="J22" s="679"/>
      <c r="K22" s="679"/>
      <c r="L22" s="679"/>
      <c r="M22" s="680"/>
      <c r="N22" s="681">
        <f>+AL19</f>
        <v>0</v>
      </c>
      <c r="O22" s="682"/>
      <c r="P22" s="683"/>
      <c r="Q22" s="683"/>
      <c r="R22" s="683"/>
      <c r="S22" s="683"/>
      <c r="T22" s="683"/>
      <c r="U22" s="684"/>
      <c r="V22" s="685"/>
      <c r="W22" s="686"/>
      <c r="AA22" s="157">
        <v>6</v>
      </c>
      <c r="AB22" s="237">
        <v>0</v>
      </c>
      <c r="AC22" s="240"/>
      <c r="AD22" s="240"/>
      <c r="AE22" s="238" t="s">
        <v>73</v>
      </c>
      <c r="AF22" s="163">
        <v>16800</v>
      </c>
      <c r="AG22" s="108"/>
      <c r="AH22" s="108"/>
      <c r="AI22" s="147"/>
      <c r="AJ22" s="108"/>
      <c r="AK22" s="108"/>
      <c r="AL22" s="108"/>
      <c r="AM22" s="108"/>
      <c r="AN22" s="79">
        <v>2</v>
      </c>
      <c r="AO22" s="403">
        <f>+U18+U19</f>
        <v>2191</v>
      </c>
      <c r="AP22" s="108"/>
      <c r="AQ22" s="108"/>
      <c r="AR22" s="108"/>
      <c r="AS22" s="108"/>
      <c r="AT22" s="1020" t="str">
        <f>VLOOKUP(B4,AW9:AX10,2)</f>
        <v>250001  TO  500000  5%</v>
      </c>
      <c r="AU22" s="1020"/>
      <c r="AV22" s="1020"/>
      <c r="AW22" s="164" t="e">
        <f>VLOOKUP(B4,AW12:AX13,2)</f>
        <v>#N/A</v>
      </c>
      <c r="AX22" s="165" t="e">
        <f>ROUND(+AW22*10%,0)</f>
        <v>#N/A</v>
      </c>
      <c r="AY22" s="108"/>
      <c r="AZ22" s="108"/>
      <c r="BA22" s="108"/>
      <c r="BB22" s="386">
        <v>22140</v>
      </c>
      <c r="BC22" s="386">
        <v>3000</v>
      </c>
      <c r="BD22" s="386"/>
      <c r="BE22" s="386"/>
      <c r="BF22" s="386"/>
      <c r="BG22" s="108"/>
      <c r="BH22" s="108"/>
      <c r="BI22" s="137"/>
      <c r="BR22">
        <v>22140</v>
      </c>
      <c r="BS22">
        <v>3000</v>
      </c>
    </row>
    <row r="23" spans="6:71" ht="17.25" thickBot="1">
      <c r="F23" s="41"/>
      <c r="G23" s="687" t="s">
        <v>3</v>
      </c>
      <c r="H23" s="688">
        <f aca="true" t="shared" si="15" ref="H23:M23">SUM(H8:H19)</f>
        <v>181040</v>
      </c>
      <c r="I23" s="689">
        <f t="shared" si="15"/>
        <v>26400</v>
      </c>
      <c r="J23" s="689">
        <f t="shared" si="15"/>
        <v>280742</v>
      </c>
      <c r="K23" s="689">
        <f t="shared" si="15"/>
        <v>24400</v>
      </c>
      <c r="L23" s="689">
        <f t="shared" si="15"/>
        <v>7200</v>
      </c>
      <c r="M23" s="689">
        <f t="shared" si="15"/>
        <v>0</v>
      </c>
      <c r="N23" s="690">
        <f aca="true" t="shared" si="16" ref="N23:U23">SUM(N8:N22)</f>
        <v>519782</v>
      </c>
      <c r="O23" s="691">
        <f t="shared" si="16"/>
        <v>0</v>
      </c>
      <c r="P23" s="692">
        <f t="shared" si="16"/>
        <v>0</v>
      </c>
      <c r="Q23" s="692">
        <f t="shared" si="16"/>
        <v>0</v>
      </c>
      <c r="R23" s="692">
        <f t="shared" si="16"/>
        <v>0</v>
      </c>
      <c r="S23" s="692">
        <f t="shared" si="16"/>
        <v>0</v>
      </c>
      <c r="T23" s="692">
        <f t="shared" si="16"/>
        <v>2190</v>
      </c>
      <c r="U23" s="693">
        <f t="shared" si="16"/>
        <v>4591</v>
      </c>
      <c r="V23" s="694" t="e">
        <f>V7</f>
        <v>#N/A</v>
      </c>
      <c r="W23" s="695"/>
      <c r="AA23" s="157">
        <v>7</v>
      </c>
      <c r="AB23" s="237">
        <v>0</v>
      </c>
      <c r="AC23" s="240"/>
      <c r="AD23" s="240"/>
      <c r="AE23" s="238" t="str">
        <f>+D3</f>
        <v>S</v>
      </c>
      <c r="AF23" s="163">
        <f>VLOOKUP(+AE23,AE21:AF22,2)</f>
        <v>16800</v>
      </c>
      <c r="AG23" s="108"/>
      <c r="AH23" s="108"/>
      <c r="AI23" s="138"/>
      <c r="AJ23" s="139"/>
      <c r="AK23" s="139"/>
      <c r="AL23" s="139"/>
      <c r="AM23" s="139"/>
      <c r="AN23" s="79">
        <v>3</v>
      </c>
      <c r="AO23" s="403">
        <f>+U17+U18+U19</f>
        <v>3391</v>
      </c>
      <c r="AP23" s="139"/>
      <c r="AQ23" s="139"/>
      <c r="AR23" s="139"/>
      <c r="AS23" s="139"/>
      <c r="AT23" s="150" t="s">
        <v>227</v>
      </c>
      <c r="AU23" s="150"/>
      <c r="AV23" s="150"/>
      <c r="AW23" s="166" t="e">
        <f>IF(AX21&gt;500000,BH7,IF(AX21&lt;1000000,BH6,0))</f>
        <v>#N/A</v>
      </c>
      <c r="AX23" s="165" t="e">
        <f>ROUND(+AW23*20%,0)</f>
        <v>#N/A</v>
      </c>
      <c r="AY23" s="139"/>
      <c r="AZ23" s="139"/>
      <c r="BA23" s="139"/>
      <c r="BB23" s="387">
        <v>25000</v>
      </c>
      <c r="BC23" s="387">
        <v>3200</v>
      </c>
      <c r="BD23" s="386"/>
      <c r="BE23" s="386"/>
      <c r="BF23" s="386"/>
      <c r="BG23" s="139"/>
      <c r="BH23" s="139"/>
      <c r="BI23" s="128"/>
      <c r="BR23" s="385">
        <v>25000</v>
      </c>
      <c r="BS23" s="385">
        <v>3200</v>
      </c>
    </row>
    <row r="24" spans="7:61" ht="12.75">
      <c r="G24" s="696" t="s">
        <v>31</v>
      </c>
      <c r="H24" s="697"/>
      <c r="I24" s="697"/>
      <c r="J24" s="697"/>
      <c r="K24" s="697"/>
      <c r="L24" s="697"/>
      <c r="M24" s="698"/>
      <c r="N24" s="699">
        <f>+AF23</f>
        <v>16800</v>
      </c>
      <c r="O24" s="1285"/>
      <c r="P24" s="1286"/>
      <c r="Q24" s="1286"/>
      <c r="R24" s="1286"/>
      <c r="S24" s="1286"/>
      <c r="T24" s="1286"/>
      <c r="U24" s="1287"/>
      <c r="AA24" s="157">
        <v>8</v>
      </c>
      <c r="AB24" s="237">
        <v>0</v>
      </c>
      <c r="AC24" s="240"/>
      <c r="AD24" s="240"/>
      <c r="AE24" s="152"/>
      <c r="AF24" s="158"/>
      <c r="AG24" s="108"/>
      <c r="AH24" s="108"/>
      <c r="AI24" s="147"/>
      <c r="AJ24" s="108"/>
      <c r="AK24" s="108"/>
      <c r="AL24" s="108"/>
      <c r="AM24" s="108"/>
      <c r="AN24" s="79">
        <v>4</v>
      </c>
      <c r="AO24" s="403">
        <f>U16+U17+U18+U19</f>
        <v>4591</v>
      </c>
      <c r="AP24" s="108"/>
      <c r="AQ24" s="108"/>
      <c r="AR24" s="108"/>
      <c r="AS24" s="108"/>
      <c r="AT24" s="150" t="s">
        <v>228</v>
      </c>
      <c r="AU24" s="150"/>
      <c r="AV24" s="150"/>
      <c r="AW24" s="167" t="e">
        <f>IF(AX21&gt;1000000,+AZ26-BA26,IF(AX21&lt;1000000,+AX21-AW22-AW23,0))</f>
        <v>#N/A</v>
      </c>
      <c r="AX24" s="168" t="e">
        <f>ROUND(+AW24*30%,0)</f>
        <v>#N/A</v>
      </c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37"/>
    </row>
    <row r="25" spans="7:61" ht="13.5" thickBot="1">
      <c r="G25" s="404" t="s">
        <v>103</v>
      </c>
      <c r="H25" s="700"/>
      <c r="I25" s="700"/>
      <c r="J25" s="700"/>
      <c r="K25" s="700"/>
      <c r="L25" s="700"/>
      <c r="M25" s="701"/>
      <c r="N25" s="702">
        <v>0</v>
      </c>
      <c r="O25" s="703"/>
      <c r="P25" s="704"/>
      <c r="Q25" s="704"/>
      <c r="R25" s="704"/>
      <c r="S25" s="704"/>
      <c r="T25" s="705"/>
      <c r="U25" s="706"/>
      <c r="AA25" s="157">
        <v>9</v>
      </c>
      <c r="AB25" s="237">
        <v>0</v>
      </c>
      <c r="AC25" s="240"/>
      <c r="AD25" s="240"/>
      <c r="AE25" s="152"/>
      <c r="AF25" s="158"/>
      <c r="AG25" s="108"/>
      <c r="AH25" s="108"/>
      <c r="AI25" s="147"/>
      <c r="AJ25" s="108"/>
      <c r="AK25" s="108"/>
      <c r="AL25" s="108"/>
      <c r="AM25" s="108"/>
      <c r="AN25" s="79">
        <v>5</v>
      </c>
      <c r="AO25" s="403">
        <f>U15+U16+U17+U18+U19</f>
        <v>4591</v>
      </c>
      <c r="AP25" s="108"/>
      <c r="AQ25" s="108"/>
      <c r="AR25" s="108"/>
      <c r="AS25" s="108"/>
      <c r="AT25" s="108"/>
      <c r="AU25" s="108"/>
      <c r="AV25" s="108"/>
      <c r="AW25" s="143" t="e">
        <f>SUM(AW22:AW24)</f>
        <v>#N/A</v>
      </c>
      <c r="AX25" s="143" t="e">
        <f>SUM(AX22:AX24)</f>
        <v>#N/A</v>
      </c>
      <c r="AY25" s="108"/>
      <c r="AZ25" s="707" t="e">
        <f>+AX21</f>
        <v>#N/A</v>
      </c>
      <c r="BA25" s="143" t="e">
        <f>+AW22</f>
        <v>#N/A</v>
      </c>
      <c r="BB25" s="143" t="e">
        <f>+AZ25-BA25</f>
        <v>#N/A</v>
      </c>
      <c r="BC25" s="108"/>
      <c r="BD25" s="108"/>
      <c r="BE25" s="108"/>
      <c r="BF25" s="108"/>
      <c r="BG25" s="108"/>
      <c r="BH25" s="108"/>
      <c r="BI25" s="137"/>
    </row>
    <row r="26" spans="5:65" ht="12.75">
      <c r="E26" s="18"/>
      <c r="F26" s="31"/>
      <c r="G26" s="404" t="s">
        <v>339</v>
      </c>
      <c r="H26" s="700"/>
      <c r="I26" s="700"/>
      <c r="J26" s="700"/>
      <c r="K26" s="700"/>
      <c r="L26" s="700"/>
      <c r="M26" s="701"/>
      <c r="N26" s="702" t="e">
        <f>+AF12</f>
        <v>#N/A</v>
      </c>
      <c r="O26" s="703"/>
      <c r="P26" s="704"/>
      <c r="Q26" s="704"/>
      <c r="R26" s="704"/>
      <c r="S26" s="704"/>
      <c r="T26" s="705"/>
      <c r="U26" s="706"/>
      <c r="AA26" s="157">
        <v>10</v>
      </c>
      <c r="AB26" s="237">
        <v>0</v>
      </c>
      <c r="AC26" s="240"/>
      <c r="AD26" s="240"/>
      <c r="AE26" s="152"/>
      <c r="AF26" s="158"/>
      <c r="AG26" s="108"/>
      <c r="AH26" s="108"/>
      <c r="AI26" s="147"/>
      <c r="AJ26" s="108"/>
      <c r="AK26" s="108"/>
      <c r="AL26" s="108"/>
      <c r="AM26" s="108"/>
      <c r="AN26" s="108"/>
      <c r="AO26" s="108"/>
      <c r="AP26" s="108"/>
      <c r="AQ26" s="108"/>
      <c r="AR26" s="441">
        <v>0</v>
      </c>
      <c r="AS26" s="442">
        <v>0</v>
      </c>
      <c r="AT26" s="108"/>
      <c r="AU26" s="441">
        <v>0</v>
      </c>
      <c r="AV26" s="442">
        <v>0</v>
      </c>
      <c r="AW26" s="108"/>
      <c r="AX26" s="441">
        <v>0</v>
      </c>
      <c r="AY26" s="442">
        <v>0</v>
      </c>
      <c r="AZ26" s="707" t="e">
        <f>+BB25</f>
        <v>#N/A</v>
      </c>
      <c r="BA26" s="143" t="e">
        <f>+AW23</f>
        <v>#N/A</v>
      </c>
      <c r="BB26" s="143" t="e">
        <f>+AZ26-BA26</f>
        <v>#N/A</v>
      </c>
      <c r="BC26" s="108"/>
      <c r="BD26" s="441">
        <v>0</v>
      </c>
      <c r="BE26" s="442">
        <v>0</v>
      </c>
      <c r="BF26" s="108"/>
      <c r="BG26" s="108"/>
      <c r="BH26" s="108"/>
      <c r="BI26" s="137"/>
      <c r="BL26" s="604"/>
      <c r="BM26" s="605"/>
    </row>
    <row r="27" spans="7:65" ht="15.75">
      <c r="G27" s="404" t="s">
        <v>32</v>
      </c>
      <c r="H27" s="700"/>
      <c r="I27" s="700"/>
      <c r="J27" s="700"/>
      <c r="K27" s="700"/>
      <c r="L27" s="700"/>
      <c r="M27" s="701"/>
      <c r="N27" s="702">
        <v>0</v>
      </c>
      <c r="O27" s="703"/>
      <c r="P27" s="704"/>
      <c r="Q27" s="704"/>
      <c r="R27" s="704"/>
      <c r="S27" s="708"/>
      <c r="T27" s="705"/>
      <c r="U27" s="706"/>
      <c r="AA27" s="157">
        <v>11</v>
      </c>
      <c r="AB27" s="237">
        <v>0</v>
      </c>
      <c r="AC27" s="240"/>
      <c r="AD27" s="240"/>
      <c r="AE27" s="152"/>
      <c r="AF27" s="158"/>
      <c r="AG27" s="108"/>
      <c r="AH27" s="108"/>
      <c r="AI27" s="147"/>
      <c r="AJ27" s="108"/>
      <c r="AK27" s="108"/>
      <c r="AL27" s="108"/>
      <c r="AM27" s="388" t="s">
        <v>234</v>
      </c>
      <c r="AN27" s="108"/>
      <c r="AO27" s="108"/>
      <c r="AP27" s="108"/>
      <c r="AQ27" s="108"/>
      <c r="AR27" s="443">
        <v>1</v>
      </c>
      <c r="AS27" s="444">
        <f>+S29</f>
        <v>0</v>
      </c>
      <c r="AT27" s="108"/>
      <c r="AU27" s="443">
        <v>15001</v>
      </c>
      <c r="AV27" s="444">
        <v>15000</v>
      </c>
      <c r="AW27" s="108"/>
      <c r="AX27" s="443">
        <v>1</v>
      </c>
      <c r="AY27" s="444">
        <v>300000</v>
      </c>
      <c r="AZ27" s="709"/>
      <c r="BA27" s="108"/>
      <c r="BB27" s="108"/>
      <c r="BC27" s="108"/>
      <c r="BD27" s="443">
        <v>250000</v>
      </c>
      <c r="BE27" s="444">
        <f>+H199</f>
        <v>0</v>
      </c>
      <c r="BF27" s="108"/>
      <c r="BG27" s="108"/>
      <c r="BH27" s="108"/>
      <c r="BI27" s="137"/>
      <c r="BL27" s="606">
        <v>3</v>
      </c>
      <c r="BM27" s="89">
        <v>150</v>
      </c>
    </row>
    <row r="28" spans="5:65" ht="16.5" thickBot="1">
      <c r="E28" s="32"/>
      <c r="G28" s="404" t="s">
        <v>272</v>
      </c>
      <c r="H28" s="700"/>
      <c r="I28" s="700"/>
      <c r="J28" s="700"/>
      <c r="K28" s="700"/>
      <c r="L28" s="700"/>
      <c r="M28" s="701"/>
      <c r="N28" s="702">
        <v>0</v>
      </c>
      <c r="O28" s="703"/>
      <c r="P28" s="704"/>
      <c r="Q28" s="704"/>
      <c r="R28" s="704"/>
      <c r="S28" s="708"/>
      <c r="T28" s="705"/>
      <c r="U28" s="706"/>
      <c r="AA28" s="157">
        <v>12</v>
      </c>
      <c r="AB28" s="237">
        <v>0</v>
      </c>
      <c r="AC28" s="240"/>
      <c r="AD28" s="240"/>
      <c r="AE28" s="162"/>
      <c r="AF28" s="169"/>
      <c r="AG28" s="108"/>
      <c r="AH28" s="108"/>
      <c r="AI28" s="147"/>
      <c r="AJ28" s="108"/>
      <c r="AK28" s="108"/>
      <c r="AL28" s="390" t="str">
        <f>B11</f>
        <v>N</v>
      </c>
      <c r="AM28" s="389" t="s">
        <v>237</v>
      </c>
      <c r="AN28" s="390">
        <v>0</v>
      </c>
      <c r="AO28" s="390">
        <f>VLOOKUP(+AL28,AM28:AN29,2)</f>
        <v>0</v>
      </c>
      <c r="AP28" s="108"/>
      <c r="AQ28" s="108"/>
      <c r="AR28" s="445"/>
      <c r="AS28" s="448"/>
      <c r="AT28" s="108"/>
      <c r="AU28" s="445"/>
      <c r="AV28" s="448"/>
      <c r="AW28" s="108"/>
      <c r="AX28" s="445"/>
      <c r="AY28" s="448"/>
      <c r="AZ28" s="709"/>
      <c r="BA28" s="108"/>
      <c r="BB28" s="108"/>
      <c r="BC28" s="108"/>
      <c r="BD28" s="443">
        <v>250001</v>
      </c>
      <c r="BE28" s="444">
        <v>250000</v>
      </c>
      <c r="BF28" s="108"/>
      <c r="BG28" s="108"/>
      <c r="BH28" s="108"/>
      <c r="BI28" s="137"/>
      <c r="BL28" s="606">
        <f>+BL27+1</f>
        <v>4</v>
      </c>
      <c r="BM28" s="89">
        <v>150</v>
      </c>
    </row>
    <row r="29" spans="5:65" ht="16.5" thickBot="1">
      <c r="E29" s="33"/>
      <c r="G29" s="691" t="s">
        <v>3</v>
      </c>
      <c r="H29" s="692">
        <f aca="true" t="shared" si="17" ref="H29:M29">+H23</f>
        <v>181040</v>
      </c>
      <c r="I29" s="692">
        <f t="shared" si="17"/>
        <v>26400</v>
      </c>
      <c r="J29" s="692">
        <f t="shared" si="17"/>
        <v>280742</v>
      </c>
      <c r="K29" s="692">
        <f t="shared" si="17"/>
        <v>24400</v>
      </c>
      <c r="L29" s="692">
        <f t="shared" si="17"/>
        <v>7200</v>
      </c>
      <c r="M29" s="692">
        <f t="shared" si="17"/>
        <v>0</v>
      </c>
      <c r="N29" s="690" t="e">
        <f>SUM(N23:N28)</f>
        <v>#N/A</v>
      </c>
      <c r="O29" s="710"/>
      <c r="P29" s="711"/>
      <c r="Q29" s="711"/>
      <c r="R29" s="711"/>
      <c r="S29" s="712"/>
      <c r="T29" s="713"/>
      <c r="U29" s="714"/>
      <c r="AA29" s="147"/>
      <c r="AB29" s="108"/>
      <c r="AC29" s="108"/>
      <c r="AD29" s="108"/>
      <c r="AE29" s="108"/>
      <c r="AF29" s="170"/>
      <c r="AG29" s="171"/>
      <c r="AH29" s="108"/>
      <c r="AI29" s="147"/>
      <c r="AJ29" s="108"/>
      <c r="AK29" s="108"/>
      <c r="AL29" s="390"/>
      <c r="AM29" s="390" t="s">
        <v>236</v>
      </c>
      <c r="AN29" s="390">
        <f>K29</f>
        <v>24400</v>
      </c>
      <c r="AO29" s="390"/>
      <c r="AP29" s="108"/>
      <c r="AQ29" s="108"/>
      <c r="AR29" s="446"/>
      <c r="AS29" s="447">
        <f>VLOOKUP(+S29,AR26:AS28,2)</f>
        <v>0</v>
      </c>
      <c r="AT29" s="108"/>
      <c r="AU29" s="446"/>
      <c r="AV29" s="447">
        <f>VLOOKUP(H201,AU26:AV28,2)</f>
        <v>0</v>
      </c>
      <c r="AW29" s="108"/>
      <c r="AX29" s="446"/>
      <c r="AY29" s="447">
        <f>VLOOKUP(S27,AX26:AY28,2)</f>
        <v>0</v>
      </c>
      <c r="AZ29" s="709"/>
      <c r="BA29" s="108"/>
      <c r="BB29" s="108"/>
      <c r="BC29" s="108"/>
      <c r="BD29" s="446"/>
      <c r="BE29" s="447">
        <f>VLOOKUP(H199,BD26:BE28,2)</f>
        <v>0</v>
      </c>
      <c r="BF29" s="108"/>
      <c r="BG29" s="108"/>
      <c r="BH29" s="108"/>
      <c r="BI29" s="137"/>
      <c r="BL29" s="606">
        <f>+BL28+1</f>
        <v>5</v>
      </c>
      <c r="BM29" s="89">
        <v>150</v>
      </c>
    </row>
    <row r="30" spans="5:65" ht="15.75">
      <c r="E30" s="33"/>
      <c r="G30" s="700"/>
      <c r="H30" s="700"/>
      <c r="I30" s="700"/>
      <c r="J30" s="700"/>
      <c r="K30" s="700"/>
      <c r="L30" s="700"/>
      <c r="M30" s="700"/>
      <c r="N30" s="715">
        <f>+'IT-STATEMENT-2017-2018'!N29</f>
        <v>543494</v>
      </c>
      <c r="O30" s="716"/>
      <c r="P30" s="717"/>
      <c r="Q30" s="717"/>
      <c r="R30" s="717"/>
      <c r="S30" s="718"/>
      <c r="T30" s="719"/>
      <c r="U30" s="720"/>
      <c r="AA30" s="108"/>
      <c r="AB30" s="108"/>
      <c r="AC30" s="108"/>
      <c r="AD30" s="108"/>
      <c r="AE30" s="108"/>
      <c r="AF30" s="170"/>
      <c r="AG30" s="171"/>
      <c r="AH30" s="108"/>
      <c r="AI30" s="108"/>
      <c r="AJ30" s="108"/>
      <c r="AK30" s="108"/>
      <c r="AL30" s="721"/>
      <c r="AM30" s="721"/>
      <c r="AN30" s="721"/>
      <c r="AO30" s="721"/>
      <c r="AP30" s="108"/>
      <c r="AQ30" s="108"/>
      <c r="AR30" s="108"/>
      <c r="AS30" s="134"/>
      <c r="AT30" s="108"/>
      <c r="AU30" s="108"/>
      <c r="AV30" s="134"/>
      <c r="AW30" s="108"/>
      <c r="AX30" s="108"/>
      <c r="AY30" s="134"/>
      <c r="AZ30" s="709"/>
      <c r="BA30" s="108"/>
      <c r="BB30" s="108"/>
      <c r="BC30" s="108"/>
      <c r="BD30" s="108"/>
      <c r="BE30" s="134"/>
      <c r="BF30" s="108"/>
      <c r="BG30" s="108"/>
      <c r="BH30" s="108"/>
      <c r="BI30" s="108"/>
      <c r="BL30" s="722"/>
      <c r="BM30" s="1"/>
    </row>
    <row r="31" spans="7:21" ht="12.75">
      <c r="G31" s="723"/>
      <c r="H31" s="723"/>
      <c r="I31" s="723"/>
      <c r="J31" s="723"/>
      <c r="K31" s="723"/>
      <c r="L31" s="723"/>
      <c r="M31" s="723"/>
      <c r="N31" s="935" t="e">
        <f>+N30-N29</f>
        <v>#N/A</v>
      </c>
      <c r="O31" s="723"/>
      <c r="P31" s="723"/>
      <c r="Q31" s="723"/>
      <c r="R31" s="723"/>
      <c r="S31" s="723"/>
      <c r="T31" s="723"/>
      <c r="U31" s="723"/>
    </row>
    <row r="32" spans="7:21" ht="12.75">
      <c r="G32" s="1288" t="s">
        <v>340</v>
      </c>
      <c r="H32" s="1288"/>
      <c r="I32" s="1288"/>
      <c r="J32" s="1288"/>
      <c r="K32" s="1288"/>
      <c r="L32" s="1288"/>
      <c r="M32" s="1288"/>
      <c r="N32" s="1288"/>
      <c r="O32" s="1288"/>
      <c r="P32" s="1288"/>
      <c r="Q32" s="1288"/>
      <c r="R32" s="1288"/>
      <c r="S32" s="723"/>
      <c r="T32" s="723"/>
      <c r="U32" s="723"/>
    </row>
    <row r="33" spans="7:33" ht="12.75" customHeight="1">
      <c r="G33" s="1293" t="s">
        <v>403</v>
      </c>
      <c r="H33" s="1293"/>
      <c r="I33" s="1293"/>
      <c r="J33" s="1293"/>
      <c r="K33" s="1293"/>
      <c r="L33" s="1293"/>
      <c r="M33" s="1293"/>
      <c r="N33" s="1293"/>
      <c r="O33" s="1293"/>
      <c r="P33" s="1293"/>
      <c r="Q33" s="1293"/>
      <c r="R33" s="1293"/>
      <c r="S33" s="1293"/>
      <c r="T33" s="1293"/>
      <c r="U33" s="1293"/>
      <c r="AB33" s="383" t="s">
        <v>232</v>
      </c>
      <c r="AC33" s="725" t="e">
        <f>+U78</f>
        <v>#N/A</v>
      </c>
      <c r="AD33">
        <v>0</v>
      </c>
      <c r="AE33">
        <v>5000</v>
      </c>
      <c r="AF33" s="726"/>
      <c r="AG33" s="161" t="e">
        <f>VLOOKUP(+AC33,AD33:AE34,2)</f>
        <v>#N/A</v>
      </c>
    </row>
    <row r="34" spans="7:31" ht="12.75" customHeight="1">
      <c r="G34" s="1293" t="s">
        <v>404</v>
      </c>
      <c r="H34" s="1293"/>
      <c r="I34" s="1293"/>
      <c r="J34" s="1293"/>
      <c r="K34" s="1293"/>
      <c r="L34" s="1293"/>
      <c r="M34" s="1293"/>
      <c r="N34" s="1293"/>
      <c r="O34" s="1293"/>
      <c r="P34" s="1293"/>
      <c r="Q34" s="1293"/>
      <c r="R34" s="1293"/>
      <c r="S34" s="1293"/>
      <c r="T34" s="1293"/>
      <c r="U34" s="1293"/>
      <c r="AD34">
        <v>500000</v>
      </c>
      <c r="AE34">
        <v>0</v>
      </c>
    </row>
    <row r="35" spans="7:21" ht="12.75" customHeight="1">
      <c r="G35" s="724"/>
      <c r="H35" s="724"/>
      <c r="I35" s="724"/>
      <c r="J35" s="724"/>
      <c r="K35" s="724"/>
      <c r="L35" s="724"/>
      <c r="M35" s="724"/>
      <c r="N35" s="724"/>
      <c r="O35" s="724"/>
      <c r="P35" s="724"/>
      <c r="Q35" s="724"/>
      <c r="R35" s="724"/>
      <c r="S35" s="724"/>
      <c r="T35" s="724"/>
      <c r="U35" s="724"/>
    </row>
    <row r="36" spans="7:42" ht="12.75" customHeight="1">
      <c r="G36" s="1294"/>
      <c r="H36" s="1294"/>
      <c r="I36" s="1294"/>
      <c r="J36" s="1294"/>
      <c r="K36" s="1294"/>
      <c r="L36" s="1294"/>
      <c r="M36" s="1294"/>
      <c r="N36" s="1294"/>
      <c r="O36" s="1294"/>
      <c r="P36" s="1294"/>
      <c r="Q36" s="1294"/>
      <c r="R36" s="1294"/>
      <c r="S36" s="723"/>
      <c r="T36" s="723"/>
      <c r="U36" s="723"/>
      <c r="AC36" s="630">
        <v>0</v>
      </c>
      <c r="AD36">
        <v>0</v>
      </c>
      <c r="AF36" s="630">
        <v>1</v>
      </c>
      <c r="AG36" s="630">
        <v>12</v>
      </c>
      <c r="AH36" s="630">
        <v>11</v>
      </c>
      <c r="AI36" s="630">
        <f>+AH36-1</f>
        <v>10</v>
      </c>
      <c r="AJ36" s="630">
        <f aca="true" t="shared" si="18" ref="AJ36:AP36">+AI36-1</f>
        <v>9</v>
      </c>
      <c r="AK36" s="630">
        <f t="shared" si="18"/>
        <v>8</v>
      </c>
      <c r="AL36" s="630">
        <f t="shared" si="18"/>
        <v>7</v>
      </c>
      <c r="AM36" s="630">
        <f t="shared" si="18"/>
        <v>6</v>
      </c>
      <c r="AN36" s="630">
        <f t="shared" si="18"/>
        <v>5</v>
      </c>
      <c r="AO36" s="630">
        <f t="shared" si="18"/>
        <v>4</v>
      </c>
      <c r="AP36" s="630">
        <f t="shared" si="18"/>
        <v>3</v>
      </c>
    </row>
    <row r="37" spans="7:42" ht="12.75" customHeight="1">
      <c r="G37" s="1295" t="s">
        <v>341</v>
      </c>
      <c r="H37" s="1295"/>
      <c r="I37" s="1295"/>
      <c r="J37" s="1296" t="e">
        <f>+U88</f>
        <v>#N/A</v>
      </c>
      <c r="K37" s="1297"/>
      <c r="L37" s="727"/>
      <c r="M37" s="727"/>
      <c r="N37" s="727"/>
      <c r="P37" s="728"/>
      <c r="Q37" s="728"/>
      <c r="R37" s="728"/>
      <c r="S37" s="728"/>
      <c r="T37" s="728"/>
      <c r="U37" s="723"/>
      <c r="AB37">
        <f aca="true" t="shared" si="19" ref="AB37:AB47">+U8</f>
        <v>0</v>
      </c>
      <c r="AC37" s="729">
        <v>42795</v>
      </c>
      <c r="AD37">
        <f>+AP48</f>
        <v>0</v>
      </c>
      <c r="AE37">
        <v>3</v>
      </c>
      <c r="AF37">
        <f>+U8</f>
        <v>0</v>
      </c>
      <c r="AG37">
        <f aca="true" t="shared" si="20" ref="AG37:AP37">+AF37</f>
        <v>0</v>
      </c>
      <c r="AH37">
        <f t="shared" si="20"/>
        <v>0</v>
      </c>
      <c r="AI37">
        <f t="shared" si="20"/>
        <v>0</v>
      </c>
      <c r="AJ37">
        <f t="shared" si="20"/>
        <v>0</v>
      </c>
      <c r="AK37">
        <f t="shared" si="20"/>
        <v>0</v>
      </c>
      <c r="AL37">
        <f t="shared" si="20"/>
        <v>0</v>
      </c>
      <c r="AM37">
        <f t="shared" si="20"/>
        <v>0</v>
      </c>
      <c r="AN37">
        <f t="shared" si="20"/>
        <v>0</v>
      </c>
      <c r="AO37">
        <f t="shared" si="20"/>
        <v>0</v>
      </c>
      <c r="AP37">
        <f t="shared" si="20"/>
        <v>0</v>
      </c>
    </row>
    <row r="38" spans="7:41" ht="16.5" thickBot="1">
      <c r="G38" s="1298" t="s">
        <v>338</v>
      </c>
      <c r="H38" s="1298"/>
      <c r="I38" s="1298"/>
      <c r="J38" s="1299">
        <f>+'IT-STATEMENT-2017-2018'!N53</f>
        <v>0</v>
      </c>
      <c r="K38" s="1300"/>
      <c r="O38" s="728" t="s">
        <v>342</v>
      </c>
      <c r="P38" s="727"/>
      <c r="Q38" s="727"/>
      <c r="R38" s="727"/>
      <c r="S38" s="727"/>
      <c r="T38" s="727"/>
      <c r="U38" s="723"/>
      <c r="AB38">
        <f t="shared" si="19"/>
        <v>0</v>
      </c>
      <c r="AC38" s="729">
        <v>42826</v>
      </c>
      <c r="AD38">
        <f>+AO48</f>
        <v>0</v>
      </c>
      <c r="AE38">
        <f>+AE37+1</f>
        <v>4</v>
      </c>
      <c r="AF38">
        <f aca="true" t="shared" si="21" ref="AF38:AF47">+U9</f>
        <v>0</v>
      </c>
      <c r="AG38">
        <f aca="true" t="shared" si="22" ref="AG38:AO38">+AF38</f>
        <v>0</v>
      </c>
      <c r="AH38">
        <f t="shared" si="22"/>
        <v>0</v>
      </c>
      <c r="AI38">
        <f t="shared" si="22"/>
        <v>0</v>
      </c>
      <c r="AJ38">
        <f t="shared" si="22"/>
        <v>0</v>
      </c>
      <c r="AK38">
        <f t="shared" si="22"/>
        <v>0</v>
      </c>
      <c r="AL38">
        <f t="shared" si="22"/>
        <v>0</v>
      </c>
      <c r="AM38">
        <f t="shared" si="22"/>
        <v>0</v>
      </c>
      <c r="AN38">
        <f t="shared" si="22"/>
        <v>0</v>
      </c>
      <c r="AO38">
        <f t="shared" si="22"/>
        <v>0</v>
      </c>
    </row>
    <row r="39" spans="7:40" ht="16.5" thickBot="1">
      <c r="G39" s="1301" t="s">
        <v>343</v>
      </c>
      <c r="H39" s="1301"/>
      <c r="I39" s="1301"/>
      <c r="J39" s="1302" t="e">
        <f>+J37-J38</f>
        <v>#N/A</v>
      </c>
      <c r="K39" s="1302"/>
      <c r="O39" s="728" t="s">
        <v>344</v>
      </c>
      <c r="P39" s="728"/>
      <c r="Q39" s="1303">
        <f>+H4</f>
        <v>0</v>
      </c>
      <c r="R39" s="1303"/>
      <c r="S39" s="1303"/>
      <c r="T39" s="1303"/>
      <c r="U39" s="723"/>
      <c r="AB39">
        <f t="shared" si="19"/>
        <v>0</v>
      </c>
      <c r="AC39" s="729">
        <v>42856</v>
      </c>
      <c r="AD39">
        <f>+AN48</f>
        <v>0</v>
      </c>
      <c r="AE39">
        <f aca="true" t="shared" si="23" ref="AE39:AE46">+AE38+1</f>
        <v>5</v>
      </c>
      <c r="AF39">
        <f t="shared" si="21"/>
        <v>0</v>
      </c>
      <c r="AG39">
        <f aca="true" t="shared" si="24" ref="AG39:AN39">+AF39</f>
        <v>0</v>
      </c>
      <c r="AH39">
        <f t="shared" si="24"/>
        <v>0</v>
      </c>
      <c r="AI39">
        <f t="shared" si="24"/>
        <v>0</v>
      </c>
      <c r="AJ39">
        <f t="shared" si="24"/>
        <v>0</v>
      </c>
      <c r="AK39">
        <f t="shared" si="24"/>
        <v>0</v>
      </c>
      <c r="AL39">
        <f t="shared" si="24"/>
        <v>0</v>
      </c>
      <c r="AM39">
        <f t="shared" si="24"/>
        <v>0</v>
      </c>
      <c r="AN39">
        <f t="shared" si="24"/>
        <v>0</v>
      </c>
    </row>
    <row r="40" spans="7:39" ht="12.75">
      <c r="G40" s="730"/>
      <c r="H40" s="730"/>
      <c r="I40" s="731"/>
      <c r="J40" s="730"/>
      <c r="Q40" s="1303"/>
      <c r="R40" s="1303"/>
      <c r="S40" s="1303"/>
      <c r="T40" s="1303"/>
      <c r="U40" s="723"/>
      <c r="AB40">
        <f t="shared" si="19"/>
        <v>0</v>
      </c>
      <c r="AC40" s="729">
        <v>42887</v>
      </c>
      <c r="AD40">
        <f>+AM48</f>
        <v>0</v>
      </c>
      <c r="AE40">
        <f t="shared" si="23"/>
        <v>6</v>
      </c>
      <c r="AF40">
        <f t="shared" si="21"/>
        <v>0</v>
      </c>
      <c r="AG40">
        <f aca="true" t="shared" si="25" ref="AG40:AM40">+AF40</f>
        <v>0</v>
      </c>
      <c r="AH40">
        <f t="shared" si="25"/>
        <v>0</v>
      </c>
      <c r="AI40">
        <f t="shared" si="25"/>
        <v>0</v>
      </c>
      <c r="AJ40">
        <f t="shared" si="25"/>
        <v>0</v>
      </c>
      <c r="AK40">
        <f t="shared" si="25"/>
        <v>0</v>
      </c>
      <c r="AL40">
        <f t="shared" si="25"/>
        <v>0</v>
      </c>
      <c r="AM40">
        <f t="shared" si="25"/>
        <v>0</v>
      </c>
    </row>
    <row r="41" spans="7:38" ht="12.75">
      <c r="G41" s="723"/>
      <c r="H41" s="723"/>
      <c r="I41" s="723"/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AB41">
        <f t="shared" si="19"/>
        <v>0</v>
      </c>
      <c r="AC41" s="729">
        <v>42917</v>
      </c>
      <c r="AD41">
        <f>+AL48</f>
        <v>0</v>
      </c>
      <c r="AE41">
        <f t="shared" si="23"/>
        <v>7</v>
      </c>
      <c r="AF41">
        <f t="shared" si="21"/>
        <v>0</v>
      </c>
      <c r="AG41">
        <f aca="true" t="shared" si="26" ref="AG41:AL41">+AF41</f>
        <v>0</v>
      </c>
      <c r="AH41">
        <f t="shared" si="26"/>
        <v>0</v>
      </c>
      <c r="AI41">
        <f t="shared" si="26"/>
        <v>0</v>
      </c>
      <c r="AJ41">
        <f t="shared" si="26"/>
        <v>0</v>
      </c>
      <c r="AK41">
        <f t="shared" si="26"/>
        <v>0</v>
      </c>
      <c r="AL41">
        <f t="shared" si="26"/>
        <v>0</v>
      </c>
    </row>
    <row r="42" spans="7:37" ht="15">
      <c r="G42" s="1304" t="s">
        <v>402</v>
      </c>
      <c r="H42" s="1304"/>
      <c r="I42" s="1304"/>
      <c r="J42" s="1304"/>
      <c r="K42" s="1304"/>
      <c r="L42" s="1304"/>
      <c r="M42" s="1304"/>
      <c r="N42" s="1304"/>
      <c r="O42" s="1304"/>
      <c r="P42" s="1304"/>
      <c r="Q42" s="1304"/>
      <c r="R42" s="1304"/>
      <c r="S42" s="1304"/>
      <c r="T42" s="1304"/>
      <c r="U42" s="1304"/>
      <c r="AB42">
        <f t="shared" si="19"/>
        <v>0</v>
      </c>
      <c r="AC42" s="729">
        <v>42948</v>
      </c>
      <c r="AD42">
        <f>+AK48</f>
        <v>0</v>
      </c>
      <c r="AE42">
        <f t="shared" si="23"/>
        <v>8</v>
      </c>
      <c r="AF42">
        <f t="shared" si="21"/>
        <v>0</v>
      </c>
      <c r="AG42">
        <f>+AF42</f>
        <v>0</v>
      </c>
      <c r="AH42">
        <f>+AG42</f>
        <v>0</v>
      </c>
      <c r="AI42">
        <f>+AH42</f>
        <v>0</v>
      </c>
      <c r="AJ42">
        <f>+AI42</f>
        <v>0</v>
      </c>
      <c r="AK42">
        <f>+AJ42</f>
        <v>0</v>
      </c>
    </row>
    <row r="43" spans="7:36" ht="15">
      <c r="G43" s="1305" t="s">
        <v>345</v>
      </c>
      <c r="H43" s="1305"/>
      <c r="I43" s="1305">
        <f>+H3</f>
        <v>0</v>
      </c>
      <c r="J43" s="1305"/>
      <c r="K43" s="1305"/>
      <c r="L43" s="1305"/>
      <c r="M43" s="733"/>
      <c r="N43" s="733"/>
      <c r="O43" s="734"/>
      <c r="P43" s="734"/>
      <c r="Q43" s="734"/>
      <c r="R43" s="734"/>
      <c r="S43" s="723"/>
      <c r="T43" s="723"/>
      <c r="U43" s="723"/>
      <c r="AB43">
        <f t="shared" si="19"/>
        <v>0</v>
      </c>
      <c r="AC43" s="729">
        <v>42979</v>
      </c>
      <c r="AD43">
        <f>+AJ48</f>
        <v>0</v>
      </c>
      <c r="AE43">
        <f t="shared" si="23"/>
        <v>9</v>
      </c>
      <c r="AF43">
        <f t="shared" si="21"/>
        <v>0</v>
      </c>
      <c r="AG43">
        <f>+AF43</f>
        <v>0</v>
      </c>
      <c r="AH43">
        <f>+AG43</f>
        <v>0</v>
      </c>
      <c r="AI43">
        <f>+AH43</f>
        <v>0</v>
      </c>
      <c r="AJ43">
        <f>+AI43</f>
        <v>0</v>
      </c>
    </row>
    <row r="44" spans="7:35" ht="12.75">
      <c r="G44" s="732" t="s">
        <v>346</v>
      </c>
      <c r="H44" s="735"/>
      <c r="I44" s="1305">
        <f>+H4</f>
        <v>0</v>
      </c>
      <c r="J44" s="1305"/>
      <c r="K44" s="1305"/>
      <c r="L44" s="1305"/>
      <c r="M44" s="736"/>
      <c r="N44" s="736"/>
      <c r="O44" s="734"/>
      <c r="P44" s="734"/>
      <c r="Q44" s="734"/>
      <c r="R44" s="734"/>
      <c r="S44" s="723"/>
      <c r="T44" s="723"/>
      <c r="U44" s="723"/>
      <c r="AB44">
        <f t="shared" si="19"/>
        <v>0</v>
      </c>
      <c r="AC44" s="729">
        <v>43009</v>
      </c>
      <c r="AD44">
        <f>+AI48</f>
        <v>0</v>
      </c>
      <c r="AE44">
        <f t="shared" si="23"/>
        <v>10</v>
      </c>
      <c r="AF44">
        <f t="shared" si="21"/>
        <v>0</v>
      </c>
      <c r="AG44">
        <f>+AF44</f>
        <v>0</v>
      </c>
      <c r="AH44">
        <f>+AG44</f>
        <v>0</v>
      </c>
      <c r="AI44">
        <f>+AH44</f>
        <v>0</v>
      </c>
    </row>
    <row r="45" spans="7:34" ht="12.75">
      <c r="G45" s="734"/>
      <c r="H45" s="734"/>
      <c r="I45" s="737"/>
      <c r="J45" s="734"/>
      <c r="K45" s="734"/>
      <c r="L45" s="734"/>
      <c r="M45" s="1306"/>
      <c r="N45" s="1306"/>
      <c r="O45" s="1306"/>
      <c r="P45" s="734"/>
      <c r="Q45" s="734"/>
      <c r="R45" s="734"/>
      <c r="S45" s="723"/>
      <c r="T45" s="723"/>
      <c r="U45" s="723"/>
      <c r="AB45">
        <f t="shared" si="19"/>
        <v>1200</v>
      </c>
      <c r="AC45" s="729">
        <v>43040</v>
      </c>
      <c r="AD45">
        <f>+AH48</f>
        <v>1200</v>
      </c>
      <c r="AE45">
        <f t="shared" si="23"/>
        <v>11</v>
      </c>
      <c r="AF45">
        <f t="shared" si="21"/>
        <v>1200</v>
      </c>
      <c r="AG45">
        <f>+AF45</f>
        <v>1200</v>
      </c>
      <c r="AH45">
        <f>+AG45</f>
        <v>1200</v>
      </c>
    </row>
    <row r="46" spans="7:33" ht="14.25">
      <c r="G46" s="738" t="s">
        <v>85</v>
      </c>
      <c r="H46" s="616" t="s">
        <v>37</v>
      </c>
      <c r="I46" s="616"/>
      <c r="J46" s="616" t="s">
        <v>86</v>
      </c>
      <c r="K46" s="1307">
        <f>+H29</f>
        <v>181040</v>
      </c>
      <c r="L46" s="1307"/>
      <c r="N46" s="1308" t="s">
        <v>347</v>
      </c>
      <c r="O46" s="1309"/>
      <c r="P46" s="1310"/>
      <c r="Q46" s="1311"/>
      <c r="R46" s="1312"/>
      <c r="S46" s="739" t="s">
        <v>37</v>
      </c>
      <c r="T46" s="352" t="s">
        <v>86</v>
      </c>
      <c r="U46" s="740">
        <f>+'IT-STATEMENT-2017-2018'!B13*12</f>
        <v>98400</v>
      </c>
      <c r="AB46">
        <f t="shared" si="19"/>
        <v>1200</v>
      </c>
      <c r="AC46" s="729">
        <v>43070</v>
      </c>
      <c r="AD46">
        <f>+AG48</f>
        <v>2400</v>
      </c>
      <c r="AE46">
        <f t="shared" si="23"/>
        <v>12</v>
      </c>
      <c r="AF46">
        <f t="shared" si="21"/>
        <v>1200</v>
      </c>
      <c r="AG46">
        <f>+AF46</f>
        <v>1200</v>
      </c>
    </row>
    <row r="47" spans="7:42" ht="12.75">
      <c r="G47" s="741" t="s">
        <v>348</v>
      </c>
      <c r="H47" s="616"/>
      <c r="I47" s="616"/>
      <c r="J47" s="616"/>
      <c r="K47" s="1307">
        <f>+I29</f>
        <v>26400</v>
      </c>
      <c r="L47" s="1307"/>
      <c r="N47" s="1313" t="s">
        <v>349</v>
      </c>
      <c r="O47" s="1313"/>
      <c r="P47" s="1313"/>
      <c r="Q47" s="1313"/>
      <c r="R47" s="1313"/>
      <c r="S47" s="739" t="s">
        <v>37</v>
      </c>
      <c r="T47" s="352" t="s">
        <v>86</v>
      </c>
      <c r="U47" s="740">
        <f>K46+K47+K48</f>
        <v>488182</v>
      </c>
      <c r="AB47">
        <f t="shared" si="19"/>
        <v>1100</v>
      </c>
      <c r="AC47" s="729">
        <v>43101</v>
      </c>
      <c r="AD47">
        <f>+AF48</f>
        <v>3500</v>
      </c>
      <c r="AE47">
        <v>1</v>
      </c>
      <c r="AF47" s="742">
        <f t="shared" si="21"/>
        <v>1100</v>
      </c>
      <c r="AG47" s="742"/>
      <c r="AH47" s="742"/>
      <c r="AI47" s="742"/>
      <c r="AJ47" s="742"/>
      <c r="AK47" s="742"/>
      <c r="AL47" s="742"/>
      <c r="AM47" s="742"/>
      <c r="AN47" s="742"/>
      <c r="AO47" s="742"/>
      <c r="AP47" s="742"/>
    </row>
    <row r="48" spans="7:42" ht="13.5" thickBot="1">
      <c r="G48" s="738" t="s">
        <v>16</v>
      </c>
      <c r="H48" s="616" t="s">
        <v>37</v>
      </c>
      <c r="I48" s="616"/>
      <c r="J48" s="616" t="s">
        <v>86</v>
      </c>
      <c r="K48" s="1307">
        <f>+J29</f>
        <v>280742</v>
      </c>
      <c r="L48" s="1307"/>
      <c r="N48" s="1313" t="s">
        <v>350</v>
      </c>
      <c r="O48" s="1313"/>
      <c r="P48" s="1313"/>
      <c r="Q48" s="1313"/>
      <c r="R48" s="1313"/>
      <c r="S48" s="739" t="s">
        <v>37</v>
      </c>
      <c r="T48" s="352" t="s">
        <v>86</v>
      </c>
      <c r="U48" s="740">
        <f>ROUND(U47*0.1,0)</f>
        <v>48818</v>
      </c>
      <c r="AF48" s="743">
        <f>SUM(AF37:AF47)</f>
        <v>3500</v>
      </c>
      <c r="AG48" s="743">
        <f aca="true" t="shared" si="27" ref="AG48:AP48">SUM(AG37:AG47)</f>
        <v>2400</v>
      </c>
      <c r="AH48" s="743">
        <f t="shared" si="27"/>
        <v>1200</v>
      </c>
      <c r="AI48" s="743">
        <f t="shared" si="27"/>
        <v>0</v>
      </c>
      <c r="AJ48" s="743">
        <f t="shared" si="27"/>
        <v>0</v>
      </c>
      <c r="AK48" s="743">
        <f t="shared" si="27"/>
        <v>0</v>
      </c>
      <c r="AL48" s="743">
        <f t="shared" si="27"/>
        <v>0</v>
      </c>
      <c r="AM48" s="743">
        <f t="shared" si="27"/>
        <v>0</v>
      </c>
      <c r="AN48" s="743">
        <f t="shared" si="27"/>
        <v>0</v>
      </c>
      <c r="AO48" s="743">
        <f t="shared" si="27"/>
        <v>0</v>
      </c>
      <c r="AP48" s="743">
        <f t="shared" si="27"/>
        <v>0</v>
      </c>
    </row>
    <row r="49" spans="7:30" ht="12.75" customHeight="1" thickBot="1">
      <c r="G49" s="738" t="s">
        <v>17</v>
      </c>
      <c r="H49" s="616" t="s">
        <v>37</v>
      </c>
      <c r="I49" s="616"/>
      <c r="J49" s="616" t="s">
        <v>86</v>
      </c>
      <c r="K49" s="1307">
        <f>+K29</f>
        <v>24400</v>
      </c>
      <c r="L49" s="1307"/>
      <c r="N49" s="1314" t="s">
        <v>351</v>
      </c>
      <c r="O49" s="1314"/>
      <c r="P49" s="1314"/>
      <c r="Q49" s="1314"/>
      <c r="R49" s="1314"/>
      <c r="S49" s="739" t="s">
        <v>37</v>
      </c>
      <c r="T49" s="352" t="s">
        <v>86</v>
      </c>
      <c r="U49" s="740">
        <f>IF((U47-U48)&lt;0,0,(U47-U48))</f>
        <v>439364</v>
      </c>
      <c r="AB49" s="669">
        <f>SUM(AB37:AB48)</f>
        <v>3500</v>
      </c>
      <c r="AD49">
        <f>VLOOKUP(X3,AC36:AD47,2)</f>
        <v>0</v>
      </c>
    </row>
    <row r="50" spans="7:21" ht="12.75" customHeight="1">
      <c r="G50" s="738" t="s">
        <v>18</v>
      </c>
      <c r="H50" s="616" t="s">
        <v>37</v>
      </c>
      <c r="I50" s="616"/>
      <c r="J50" s="616" t="s">
        <v>86</v>
      </c>
      <c r="K50" s="1307">
        <f>+L29</f>
        <v>7200</v>
      </c>
      <c r="L50" s="1307"/>
      <c r="N50" s="1314" t="s">
        <v>352</v>
      </c>
      <c r="O50" s="1314"/>
      <c r="P50" s="1314"/>
      <c r="Q50" s="1314"/>
      <c r="R50" s="1314"/>
      <c r="S50" s="739" t="s">
        <v>37</v>
      </c>
      <c r="T50" s="352" t="s">
        <v>86</v>
      </c>
      <c r="U50" s="740">
        <f>+K49</f>
        <v>24400</v>
      </c>
    </row>
    <row r="51" spans="7:32" ht="13.5" customHeight="1" thickBot="1">
      <c r="G51" s="744" t="s">
        <v>353</v>
      </c>
      <c r="H51" s="616" t="s">
        <v>37</v>
      </c>
      <c r="I51" s="616"/>
      <c r="J51" s="616" t="s">
        <v>86</v>
      </c>
      <c r="K51" s="1307" t="e">
        <f>+M29+N24+N25+N26+N27+N28+N21+N22</f>
        <v>#N/A</v>
      </c>
      <c r="L51" s="1307"/>
      <c r="N51" s="1314" t="s">
        <v>354</v>
      </c>
      <c r="O51" s="1314"/>
      <c r="P51" s="1314"/>
      <c r="Q51" s="1314"/>
      <c r="R51" s="1314"/>
      <c r="S51" s="745" t="s">
        <v>37</v>
      </c>
      <c r="T51" s="746" t="s">
        <v>86</v>
      </c>
      <c r="U51" s="747">
        <f>U47*0.5</f>
        <v>244091</v>
      </c>
      <c r="AF51" s="729">
        <v>42795</v>
      </c>
    </row>
    <row r="52" spans="7:32" ht="13.5" customHeight="1" thickBot="1">
      <c r="G52" s="738" t="s">
        <v>355</v>
      </c>
      <c r="H52" s="616" t="s">
        <v>37</v>
      </c>
      <c r="I52" s="616"/>
      <c r="J52" s="616" t="s">
        <v>86</v>
      </c>
      <c r="K52" s="1307" t="e">
        <f>SUM(K46:K51)</f>
        <v>#N/A</v>
      </c>
      <c r="L52" s="1307"/>
      <c r="N52" s="1314" t="s">
        <v>405</v>
      </c>
      <c r="O52" s="1314"/>
      <c r="P52" s="1314"/>
      <c r="Q52" s="1314"/>
      <c r="R52" s="1314"/>
      <c r="S52" s="748" t="s">
        <v>37</v>
      </c>
      <c r="T52" s="749" t="s">
        <v>86</v>
      </c>
      <c r="U52" s="750">
        <f>IF(MIN(U49:U51)&gt;U46,U46,MIN(U49:U51))</f>
        <v>24400</v>
      </c>
      <c r="AF52" s="729">
        <v>42826</v>
      </c>
    </row>
    <row r="53" spans="7:32" ht="15">
      <c r="G53" s="1315" t="s">
        <v>356</v>
      </c>
      <c r="H53" s="1315"/>
      <c r="I53" s="1315"/>
      <c r="J53" s="1315"/>
      <c r="K53" s="1315"/>
      <c r="L53" s="1315"/>
      <c r="M53" s="1315"/>
      <c r="N53" s="1315"/>
      <c r="O53" s="1315"/>
      <c r="P53" s="1315"/>
      <c r="Q53" s="1315"/>
      <c r="R53" s="1315"/>
      <c r="S53" s="1315"/>
      <c r="T53" s="1315"/>
      <c r="U53" s="1315"/>
      <c r="AF53" s="729">
        <v>42856</v>
      </c>
    </row>
    <row r="54" spans="7:32" ht="12.75">
      <c r="G54" s="1316" t="s">
        <v>357</v>
      </c>
      <c r="H54" s="1317"/>
      <c r="I54" s="1317"/>
      <c r="J54" s="1317"/>
      <c r="K54" s="1317"/>
      <c r="L54" s="1317"/>
      <c r="M54" s="1317"/>
      <c r="N54" s="1317"/>
      <c r="O54" s="1317"/>
      <c r="P54" s="1317"/>
      <c r="Q54" s="1317"/>
      <c r="R54" s="1317"/>
      <c r="S54" s="751" t="s">
        <v>37</v>
      </c>
      <c r="T54" s="752" t="s">
        <v>86</v>
      </c>
      <c r="U54" s="753">
        <f>+O23</f>
        <v>0</v>
      </c>
      <c r="AF54" s="729">
        <v>42887</v>
      </c>
    </row>
    <row r="55" spans="7:32" ht="12.75">
      <c r="G55" s="1318" t="s">
        <v>358</v>
      </c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754" t="s">
        <v>37</v>
      </c>
      <c r="T55" s="755" t="s">
        <v>86</v>
      </c>
      <c r="U55" s="756">
        <f>+P23</f>
        <v>0</v>
      </c>
      <c r="AF55" s="729">
        <v>42917</v>
      </c>
    </row>
    <row r="56" spans="7:32" ht="12.75">
      <c r="G56" s="1320" t="s">
        <v>359</v>
      </c>
      <c r="H56" s="1321"/>
      <c r="I56" s="1321"/>
      <c r="J56" s="1321"/>
      <c r="K56" s="1321"/>
      <c r="L56" s="1321"/>
      <c r="M56" s="1321"/>
      <c r="N56" s="1321"/>
      <c r="O56" s="1321"/>
      <c r="P56" s="1321"/>
      <c r="Q56" s="1321"/>
      <c r="R56" s="1321"/>
      <c r="S56" s="757" t="s">
        <v>37</v>
      </c>
      <c r="T56" s="758" t="s">
        <v>86</v>
      </c>
      <c r="U56" s="759">
        <v>0</v>
      </c>
      <c r="AF56" s="729">
        <v>42948</v>
      </c>
    </row>
    <row r="57" spans="7:32" ht="12.75">
      <c r="G57" s="1318" t="s">
        <v>360</v>
      </c>
      <c r="H57" s="1319"/>
      <c r="I57" s="1319"/>
      <c r="J57" s="1319"/>
      <c r="K57" s="1319"/>
      <c r="L57" s="1319"/>
      <c r="M57" s="1319"/>
      <c r="N57" s="1319"/>
      <c r="O57" s="1319"/>
      <c r="P57" s="1319"/>
      <c r="Q57" s="1319"/>
      <c r="R57" s="1319"/>
      <c r="S57" s="754" t="s">
        <v>37</v>
      </c>
      <c r="T57" s="755" t="s">
        <v>86</v>
      </c>
      <c r="U57" s="756">
        <f>+R23</f>
        <v>0</v>
      </c>
      <c r="AF57" s="729">
        <v>42979</v>
      </c>
    </row>
    <row r="58" spans="7:32" ht="12.75">
      <c r="G58" s="1320" t="s">
        <v>361</v>
      </c>
      <c r="H58" s="1321"/>
      <c r="I58" s="1321"/>
      <c r="J58" s="1321"/>
      <c r="K58" s="1321"/>
      <c r="L58" s="1321"/>
      <c r="M58" s="1321"/>
      <c r="N58" s="1321"/>
      <c r="O58" s="1321"/>
      <c r="P58" s="1321"/>
      <c r="Q58" s="1321"/>
      <c r="R58" s="1321"/>
      <c r="S58" s="757" t="s">
        <v>37</v>
      </c>
      <c r="T58" s="758" t="s">
        <v>86</v>
      </c>
      <c r="U58" s="759">
        <v>0</v>
      </c>
      <c r="AF58" s="729">
        <v>43009</v>
      </c>
    </row>
    <row r="59" spans="7:32" ht="12.75">
      <c r="G59" s="1318" t="s">
        <v>362</v>
      </c>
      <c r="H59" s="1319"/>
      <c r="I59" s="1319"/>
      <c r="J59" s="1319"/>
      <c r="K59" s="1319"/>
      <c r="L59" s="1319"/>
      <c r="M59" s="1319"/>
      <c r="N59" s="1319"/>
      <c r="O59" s="1319"/>
      <c r="P59" s="1319"/>
      <c r="Q59" s="1319"/>
      <c r="R59" s="1319"/>
      <c r="S59" s="754" t="s">
        <v>37</v>
      </c>
      <c r="T59" s="755" t="s">
        <v>86</v>
      </c>
      <c r="U59" s="756">
        <f>+Q23</f>
        <v>0</v>
      </c>
      <c r="AF59" s="729">
        <v>43040</v>
      </c>
    </row>
    <row r="60" spans="7:32" ht="12.75">
      <c r="G60" s="1320" t="s">
        <v>363</v>
      </c>
      <c r="H60" s="1321"/>
      <c r="I60" s="1321"/>
      <c r="J60" s="1321"/>
      <c r="K60" s="1321"/>
      <c r="L60" s="1321"/>
      <c r="M60" s="1321"/>
      <c r="N60" s="1321"/>
      <c r="O60" s="1321"/>
      <c r="P60" s="1321"/>
      <c r="Q60" s="1321"/>
      <c r="R60" s="1321"/>
      <c r="S60" s="757" t="s">
        <v>37</v>
      </c>
      <c r="T60" s="758" t="s">
        <v>86</v>
      </c>
      <c r="U60" s="759">
        <v>0</v>
      </c>
      <c r="AF60" s="729">
        <v>43070</v>
      </c>
    </row>
    <row r="61" spans="7:32" ht="12.75">
      <c r="G61" s="1320" t="s">
        <v>364</v>
      </c>
      <c r="H61" s="1321"/>
      <c r="I61" s="1321"/>
      <c r="J61" s="1321"/>
      <c r="K61" s="1321"/>
      <c r="L61" s="1321"/>
      <c r="M61" s="1321"/>
      <c r="N61" s="1321"/>
      <c r="O61" s="1321"/>
      <c r="P61" s="1321"/>
      <c r="Q61" s="1321"/>
      <c r="R61" s="1321"/>
      <c r="S61" s="757" t="s">
        <v>37</v>
      </c>
      <c r="T61" s="758" t="s">
        <v>86</v>
      </c>
      <c r="U61" s="934">
        <f>+'IT-STATEMENT-2017-2018'!U32</f>
        <v>0</v>
      </c>
      <c r="AF61" s="729">
        <v>43101</v>
      </c>
    </row>
    <row r="62" spans="7:32" ht="12.75">
      <c r="G62" s="1320" t="s">
        <v>365</v>
      </c>
      <c r="H62" s="1321"/>
      <c r="I62" s="1321"/>
      <c r="J62" s="1321"/>
      <c r="K62" s="1321"/>
      <c r="L62" s="1321"/>
      <c r="M62" s="1321"/>
      <c r="N62" s="1321"/>
      <c r="O62" s="1321"/>
      <c r="P62" s="1321"/>
      <c r="Q62" s="1321"/>
      <c r="R62" s="1321"/>
      <c r="S62" s="757" t="s">
        <v>37</v>
      </c>
      <c r="T62" s="758" t="s">
        <v>86</v>
      </c>
      <c r="U62" s="934">
        <f>+'IT-STATEMENT-2017-2018'!U37</f>
        <v>0</v>
      </c>
      <c r="AF62" s="729"/>
    </row>
    <row r="63" spans="7:21" ht="12.75">
      <c r="G63" s="1322" t="s">
        <v>366</v>
      </c>
      <c r="H63" s="1323"/>
      <c r="I63" s="1323"/>
      <c r="J63" s="1323"/>
      <c r="K63" s="1323"/>
      <c r="L63" s="1323"/>
      <c r="M63" s="1323"/>
      <c r="N63" s="1323"/>
      <c r="O63" s="1323"/>
      <c r="P63" s="1323"/>
      <c r="Q63" s="1323"/>
      <c r="R63" s="1323"/>
      <c r="S63" s="757" t="s">
        <v>37</v>
      </c>
      <c r="T63" s="758" t="s">
        <v>86</v>
      </c>
      <c r="U63" s="934">
        <v>0</v>
      </c>
    </row>
    <row r="64" spans="7:21" ht="12.75">
      <c r="G64" s="1322" t="s">
        <v>367</v>
      </c>
      <c r="H64" s="1323"/>
      <c r="I64" s="1323"/>
      <c r="J64" s="1323"/>
      <c r="K64" s="1323"/>
      <c r="L64" s="1323"/>
      <c r="M64" s="1323"/>
      <c r="N64" s="1323"/>
      <c r="O64" s="1323"/>
      <c r="P64" s="1323"/>
      <c r="Q64" s="1323"/>
      <c r="R64" s="1323"/>
      <c r="S64" s="757" t="s">
        <v>37</v>
      </c>
      <c r="T64" s="758" t="s">
        <v>86</v>
      </c>
      <c r="U64" s="759">
        <v>0</v>
      </c>
    </row>
    <row r="65" spans="7:21" ht="12.75">
      <c r="G65" s="1324" t="s">
        <v>368</v>
      </c>
      <c r="H65" s="1325"/>
      <c r="I65" s="1325"/>
      <c r="J65" s="1325"/>
      <c r="K65" s="1325"/>
      <c r="L65" s="1325"/>
      <c r="M65" s="1325"/>
      <c r="N65" s="1325"/>
      <c r="O65" s="1325"/>
      <c r="P65" s="1325"/>
      <c r="Q65" s="1325"/>
      <c r="R65" s="1325"/>
      <c r="S65" s="754" t="s">
        <v>37</v>
      </c>
      <c r="T65" s="755" t="s">
        <v>86</v>
      </c>
      <c r="U65" s="760">
        <f>+S23</f>
        <v>0</v>
      </c>
    </row>
    <row r="66" spans="7:21" ht="12.75">
      <c r="G66" s="1326" t="s">
        <v>3</v>
      </c>
      <c r="H66" s="1327"/>
      <c r="I66" s="1327"/>
      <c r="J66" s="1327"/>
      <c r="K66" s="1327"/>
      <c r="L66" s="1327"/>
      <c r="M66" s="1327"/>
      <c r="N66" s="1327"/>
      <c r="O66" s="1327"/>
      <c r="P66" s="1327"/>
      <c r="Q66" s="1327"/>
      <c r="R66" s="1327"/>
      <c r="S66" s="761"/>
      <c r="T66" s="762"/>
      <c r="U66" s="760">
        <f>SUM(U54:U65)</f>
        <v>0</v>
      </c>
    </row>
    <row r="67" spans="7:21" ht="15">
      <c r="G67" s="1328" t="s">
        <v>369</v>
      </c>
      <c r="H67" s="1328"/>
      <c r="I67" s="1328"/>
      <c r="J67" s="1328"/>
      <c r="K67" s="1328"/>
      <c r="L67" s="1328"/>
      <c r="M67" s="1328"/>
      <c r="N67" s="1328"/>
      <c r="O67" s="1328"/>
      <c r="P67" s="1328"/>
      <c r="Q67" s="1328"/>
      <c r="R67" s="1328"/>
      <c r="S67" s="1329"/>
      <c r="T67" s="1329"/>
      <c r="U67" s="1328"/>
    </row>
    <row r="68" spans="7:21" ht="12.75">
      <c r="G68" s="1316" t="s">
        <v>370</v>
      </c>
      <c r="H68" s="1317"/>
      <c r="I68" s="1317"/>
      <c r="J68" s="1317"/>
      <c r="K68" s="1317"/>
      <c r="L68" s="1317"/>
      <c r="M68" s="1317"/>
      <c r="N68" s="1317"/>
      <c r="O68" s="1317"/>
      <c r="P68" s="1317"/>
      <c r="Q68" s="1317"/>
      <c r="R68" s="1317"/>
      <c r="S68" s="751" t="s">
        <v>37</v>
      </c>
      <c r="T68" s="752" t="s">
        <v>86</v>
      </c>
      <c r="U68" s="763" t="e">
        <f>+K52</f>
        <v>#N/A</v>
      </c>
    </row>
    <row r="69" spans="7:21" ht="12.75">
      <c r="G69" s="1318" t="s">
        <v>406</v>
      </c>
      <c r="H69" s="1319"/>
      <c r="I69" s="1319"/>
      <c r="J69" s="1319"/>
      <c r="K69" s="1319"/>
      <c r="L69" s="1319"/>
      <c r="M69" s="1319"/>
      <c r="N69" s="1319"/>
      <c r="O69" s="1319"/>
      <c r="P69" s="1319"/>
      <c r="Q69" s="1319"/>
      <c r="R69" s="1319"/>
      <c r="S69" s="764" t="s">
        <v>37</v>
      </c>
      <c r="T69" s="765" t="s">
        <v>86</v>
      </c>
      <c r="U69" s="766">
        <f>AO28</f>
        <v>0</v>
      </c>
    </row>
    <row r="70" spans="7:21" ht="12.75">
      <c r="G70" s="1318" t="s">
        <v>371</v>
      </c>
      <c r="H70" s="1319"/>
      <c r="I70" s="1319"/>
      <c r="J70" s="1319"/>
      <c r="K70" s="1319"/>
      <c r="L70" s="1319"/>
      <c r="M70" s="1319"/>
      <c r="N70" s="1319"/>
      <c r="O70" s="1319"/>
      <c r="P70" s="1319"/>
      <c r="Q70" s="1319"/>
      <c r="R70" s="1319"/>
      <c r="S70" s="754" t="s">
        <v>37</v>
      </c>
      <c r="T70" s="755" t="s">
        <v>86</v>
      </c>
      <c r="U70" s="756">
        <f>+T23</f>
        <v>2190</v>
      </c>
    </row>
    <row r="71" spans="7:21" ht="14.25">
      <c r="G71" s="1330" t="s">
        <v>372</v>
      </c>
      <c r="H71" s="1331"/>
      <c r="I71" s="1331"/>
      <c r="J71" s="1331"/>
      <c r="K71" s="1331"/>
      <c r="L71" s="1331"/>
      <c r="M71" s="1331"/>
      <c r="N71" s="1331"/>
      <c r="O71" s="1331"/>
      <c r="P71" s="1331"/>
      <c r="Q71" s="1331"/>
      <c r="R71" s="1331"/>
      <c r="S71" s="764" t="s">
        <v>37</v>
      </c>
      <c r="T71" s="765" t="s">
        <v>86</v>
      </c>
      <c r="U71" s="934">
        <f>+'IT-STATEMENT-2017-2018'!N36</f>
        <v>100000</v>
      </c>
    </row>
    <row r="72" spans="7:21" ht="12.75">
      <c r="G72" s="1332" t="s">
        <v>373</v>
      </c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751" t="s">
        <v>37</v>
      </c>
      <c r="T72" s="752" t="s">
        <v>86</v>
      </c>
      <c r="U72" s="767" t="e">
        <f>U68-U69-U70-U71</f>
        <v>#N/A</v>
      </c>
    </row>
    <row r="73" spans="7:21" ht="15">
      <c r="G73" s="1334" t="s">
        <v>374</v>
      </c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768" t="s">
        <v>37</v>
      </c>
      <c r="T73" s="769" t="s">
        <v>86</v>
      </c>
      <c r="U73" s="770" t="e">
        <f>U72</f>
        <v>#N/A</v>
      </c>
    </row>
    <row r="74" spans="7:21" ht="15">
      <c r="G74" s="1336" t="s">
        <v>375</v>
      </c>
      <c r="H74" s="1337"/>
      <c r="I74" s="1337"/>
      <c r="J74" s="1337"/>
      <c r="K74" s="1337"/>
      <c r="L74" s="1337"/>
      <c r="M74" s="1337"/>
      <c r="N74" s="1337"/>
      <c r="O74" s="1337"/>
      <c r="P74" s="1337"/>
      <c r="Q74" s="1337"/>
      <c r="R74" s="1337"/>
      <c r="S74" s="768" t="s">
        <v>37</v>
      </c>
      <c r="T74" s="769" t="s">
        <v>86</v>
      </c>
      <c r="U74" s="771">
        <f>IF(U66&gt;150000,150000,U66)</f>
        <v>0</v>
      </c>
    </row>
    <row r="75" spans="7:21" ht="12.75" customHeight="1">
      <c r="G75" s="1338" t="s">
        <v>376</v>
      </c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751" t="s">
        <v>37</v>
      </c>
      <c r="T75" s="752" t="s">
        <v>86</v>
      </c>
      <c r="U75" s="936">
        <f>+'IT-STATEMENT-2017-2018'!N38</f>
        <v>0</v>
      </c>
    </row>
    <row r="76" spans="7:21" ht="27.75" customHeight="1">
      <c r="G76" s="1340" t="s">
        <v>377</v>
      </c>
      <c r="H76" s="1341"/>
      <c r="I76" s="1341"/>
      <c r="J76" s="1341"/>
      <c r="K76" s="1341"/>
      <c r="L76" s="1341"/>
      <c r="M76" s="1341"/>
      <c r="N76" s="1341"/>
      <c r="O76" s="1341"/>
      <c r="P76" s="1341"/>
      <c r="Q76" s="1341"/>
      <c r="R76" s="1341"/>
      <c r="S76" s="754" t="s">
        <v>37</v>
      </c>
      <c r="T76" s="755" t="s">
        <v>86</v>
      </c>
      <c r="U76" s="772">
        <v>2070</v>
      </c>
    </row>
    <row r="77" spans="7:21" ht="34.5" customHeight="1">
      <c r="G77" s="1342" t="s">
        <v>378</v>
      </c>
      <c r="H77" s="1343"/>
      <c r="I77" s="1343"/>
      <c r="J77" s="1343"/>
      <c r="K77" s="1343"/>
      <c r="L77" s="1343"/>
      <c r="M77" s="1343"/>
      <c r="N77" s="1343"/>
      <c r="O77" s="1343"/>
      <c r="P77" s="1343"/>
      <c r="Q77" s="1343"/>
      <c r="R77" s="1343"/>
      <c r="S77" s="773" t="s">
        <v>37</v>
      </c>
      <c r="T77" s="774" t="s">
        <v>86</v>
      </c>
      <c r="U77" s="937">
        <f>+'IT-STATEMENT-2017-2018'!N41</f>
        <v>0</v>
      </c>
    </row>
    <row r="78" spans="7:24" ht="15">
      <c r="G78" s="1334" t="s">
        <v>379</v>
      </c>
      <c r="H78" s="1335"/>
      <c r="I78" s="1335"/>
      <c r="J78" s="1335"/>
      <c r="K78" s="1335"/>
      <c r="L78" s="1335"/>
      <c r="M78" s="1335"/>
      <c r="N78" s="1335"/>
      <c r="O78" s="1335"/>
      <c r="P78" s="1335"/>
      <c r="Q78" s="1335"/>
      <c r="R78" s="1335"/>
      <c r="S78" s="768" t="s">
        <v>37</v>
      </c>
      <c r="T78" s="769" t="s">
        <v>86</v>
      </c>
      <c r="U78" s="775" t="e">
        <f>ROUND(U73-U74-U75-U76-U77,-1)</f>
        <v>#N/A</v>
      </c>
      <c r="X78" s="33"/>
    </row>
    <row r="79" spans="7:24" ht="15">
      <c r="G79" s="1344" t="s">
        <v>380</v>
      </c>
      <c r="H79" s="1345"/>
      <c r="I79" s="1345"/>
      <c r="J79" s="1345"/>
      <c r="K79" s="1345"/>
      <c r="L79" s="1345"/>
      <c r="M79" s="1345"/>
      <c r="N79" s="1345"/>
      <c r="O79" s="1346">
        <v>250000</v>
      </c>
      <c r="P79" s="1347"/>
      <c r="Q79" s="776" t="s">
        <v>381</v>
      </c>
      <c r="R79" s="777"/>
      <c r="S79" s="778" t="s">
        <v>37</v>
      </c>
      <c r="T79" s="779" t="s">
        <v>86</v>
      </c>
      <c r="U79" s="780" t="e">
        <f>+U78-O79</f>
        <v>#N/A</v>
      </c>
      <c r="X79" s="35"/>
    </row>
    <row r="80" spans="7:24" ht="12.75" customHeight="1">
      <c r="G80" s="1348" t="s">
        <v>382</v>
      </c>
      <c r="H80" s="1349"/>
      <c r="I80" s="1349"/>
      <c r="J80" s="1349"/>
      <c r="K80" s="1349"/>
      <c r="L80" s="1349"/>
      <c r="M80" s="1349"/>
      <c r="N80" s="1349"/>
      <c r="O80" s="1350" t="e">
        <f>VLOOKUP(B4,AW12:AX13,2)</f>
        <v>#N/A</v>
      </c>
      <c r="P80" s="1351"/>
      <c r="Q80" s="781">
        <v>5</v>
      </c>
      <c r="R80" s="782" t="s">
        <v>383</v>
      </c>
      <c r="S80" s="754" t="s">
        <v>37</v>
      </c>
      <c r="T80" s="755" t="s">
        <v>86</v>
      </c>
      <c r="U80" s="783" t="e">
        <f>+O80*Q80/100</f>
        <v>#N/A</v>
      </c>
      <c r="X80" s="35"/>
    </row>
    <row r="81" spans="7:24" ht="12.75">
      <c r="G81" s="1352" t="s">
        <v>384</v>
      </c>
      <c r="H81" s="1353"/>
      <c r="I81" s="1353"/>
      <c r="J81" s="1353"/>
      <c r="K81" s="1353"/>
      <c r="L81" s="1353"/>
      <c r="M81" s="1353"/>
      <c r="N81" s="1353"/>
      <c r="O81" s="1350" t="e">
        <f>IF(U79&gt;600000,BH7,IF(U79&lt;600000,BH6,0))</f>
        <v>#N/A</v>
      </c>
      <c r="P81" s="1351"/>
      <c r="Q81" s="784">
        <v>20</v>
      </c>
      <c r="R81" s="782" t="s">
        <v>383</v>
      </c>
      <c r="S81" s="754" t="s">
        <v>37</v>
      </c>
      <c r="T81" s="755" t="s">
        <v>86</v>
      </c>
      <c r="U81" s="783" t="e">
        <f>+O81*Q81/100</f>
        <v>#N/A</v>
      </c>
      <c r="X81" s="35"/>
    </row>
    <row r="82" spans="7:21" ht="12.75">
      <c r="G82" s="1352" t="s">
        <v>385</v>
      </c>
      <c r="H82" s="1353"/>
      <c r="I82" s="1353"/>
      <c r="J82" s="1353"/>
      <c r="K82" s="1353"/>
      <c r="L82" s="1353"/>
      <c r="M82" s="1353"/>
      <c r="N82" s="1353"/>
      <c r="O82" s="1350" t="e">
        <f>IF(U79&gt;2000000,2000000,IF(U79&lt;2000000,U79-T210-T211,0))</f>
        <v>#N/A</v>
      </c>
      <c r="P82" s="1351"/>
      <c r="Q82" s="784">
        <v>30</v>
      </c>
      <c r="R82" s="782" t="s">
        <v>383</v>
      </c>
      <c r="S82" s="754" t="s">
        <v>37</v>
      </c>
      <c r="T82" s="755" t="s">
        <v>86</v>
      </c>
      <c r="U82" s="783" t="e">
        <f>+O82*Q82/100</f>
        <v>#N/A</v>
      </c>
    </row>
    <row r="83" spans="7:21" ht="15">
      <c r="G83" s="1354" t="s">
        <v>386</v>
      </c>
      <c r="H83" s="1355"/>
      <c r="I83" s="1355"/>
      <c r="J83" s="1355"/>
      <c r="K83" s="1355"/>
      <c r="L83" s="1355"/>
      <c r="M83" s="1355"/>
      <c r="N83" s="1355"/>
      <c r="O83" s="1356" t="e">
        <f>+O80+O81+O82</f>
        <v>#N/A</v>
      </c>
      <c r="P83" s="1357"/>
      <c r="Q83" s="1356" t="e">
        <f>+U79-O83</f>
        <v>#N/A</v>
      </c>
      <c r="R83" s="1357"/>
      <c r="S83" s="778" t="s">
        <v>37</v>
      </c>
      <c r="T83" s="779" t="s">
        <v>86</v>
      </c>
      <c r="U83" s="785" t="e">
        <f>+U80+U81+U82</f>
        <v>#N/A</v>
      </c>
    </row>
    <row r="84" spans="7:21" ht="15.75">
      <c r="G84" s="1358" t="s">
        <v>387</v>
      </c>
      <c r="H84" s="1359"/>
      <c r="I84" s="1359"/>
      <c r="J84" s="1359"/>
      <c r="K84" s="1359"/>
      <c r="L84" s="1359"/>
      <c r="M84" s="1359"/>
      <c r="N84" s="1359"/>
      <c r="O84" s="1359"/>
      <c r="P84" s="1359"/>
      <c r="Q84" s="1359"/>
      <c r="R84" s="1359"/>
      <c r="S84" s="778" t="s">
        <v>37</v>
      </c>
      <c r="T84" s="779" t="s">
        <v>86</v>
      </c>
      <c r="U84" s="786" t="e">
        <f>AG33</f>
        <v>#N/A</v>
      </c>
    </row>
    <row r="85" spans="7:21" ht="15">
      <c r="G85" s="1360" t="s">
        <v>388</v>
      </c>
      <c r="H85" s="1361"/>
      <c r="I85" s="1361"/>
      <c r="J85" s="1361"/>
      <c r="K85" s="1361"/>
      <c r="L85" s="1361"/>
      <c r="M85" s="1361"/>
      <c r="N85" s="1361"/>
      <c r="O85" s="1361"/>
      <c r="P85" s="1361"/>
      <c r="Q85" s="1361"/>
      <c r="R85" s="1361"/>
      <c r="S85" s="778" t="s">
        <v>37</v>
      </c>
      <c r="T85" s="779" t="s">
        <v>86</v>
      </c>
      <c r="U85" s="787" t="e">
        <f>+U83-U84</f>
        <v>#N/A</v>
      </c>
    </row>
    <row r="86" spans="7:21" ht="15">
      <c r="G86" s="1352" t="s">
        <v>389</v>
      </c>
      <c r="H86" s="1353"/>
      <c r="I86" s="1353"/>
      <c r="J86" s="1353"/>
      <c r="K86" s="1353"/>
      <c r="L86" s="1353"/>
      <c r="M86" s="1353"/>
      <c r="N86" s="1353"/>
      <c r="O86" s="1353"/>
      <c r="P86" s="1353"/>
      <c r="Q86" s="1353"/>
      <c r="R86" s="1353"/>
      <c r="S86" s="754" t="s">
        <v>37</v>
      </c>
      <c r="T86" s="755" t="s">
        <v>86</v>
      </c>
      <c r="U86" s="788" t="e">
        <f>ROUND(+U85*2/100,0)</f>
        <v>#N/A</v>
      </c>
    </row>
    <row r="87" spans="7:21" ht="15">
      <c r="G87" s="1352" t="s">
        <v>390</v>
      </c>
      <c r="H87" s="1353"/>
      <c r="I87" s="1353"/>
      <c r="J87" s="1353"/>
      <c r="K87" s="1353"/>
      <c r="L87" s="1353"/>
      <c r="M87" s="1353"/>
      <c r="N87" s="1353"/>
      <c r="O87" s="1353"/>
      <c r="P87" s="1353"/>
      <c r="Q87" s="1353"/>
      <c r="R87" s="1353"/>
      <c r="S87" s="754" t="s">
        <v>37</v>
      </c>
      <c r="T87" s="755" t="s">
        <v>86</v>
      </c>
      <c r="U87" s="788" t="e">
        <f>ROUND(+U85*1/100,0)</f>
        <v>#N/A</v>
      </c>
    </row>
    <row r="88" spans="7:21" ht="15">
      <c r="G88" s="1362" t="s">
        <v>391</v>
      </c>
      <c r="H88" s="1363"/>
      <c r="I88" s="1363"/>
      <c r="J88" s="1363"/>
      <c r="K88" s="1363"/>
      <c r="L88" s="1363"/>
      <c r="M88" s="1363"/>
      <c r="N88" s="1363"/>
      <c r="O88" s="1363"/>
      <c r="P88" s="1363"/>
      <c r="Q88" s="1363"/>
      <c r="R88" s="1363"/>
      <c r="S88" s="751" t="s">
        <v>37</v>
      </c>
      <c r="T88" s="752" t="s">
        <v>86</v>
      </c>
      <c r="U88" s="789" t="e">
        <f>+U85+U86+U87</f>
        <v>#N/A</v>
      </c>
    </row>
    <row r="89" spans="7:21" ht="15">
      <c r="G89" s="1364" t="s">
        <v>392</v>
      </c>
      <c r="H89" s="1365"/>
      <c r="I89" s="1365"/>
      <c r="J89" s="1365"/>
      <c r="K89" s="1365"/>
      <c r="L89" s="1365"/>
      <c r="M89" s="1365"/>
      <c r="N89" s="1365"/>
      <c r="O89" s="1365"/>
      <c r="P89" s="1365"/>
      <c r="Q89" s="1365"/>
      <c r="R89" s="1366"/>
      <c r="S89" s="751" t="s">
        <v>37</v>
      </c>
      <c r="T89" s="752" t="s">
        <v>86</v>
      </c>
      <c r="U89" s="790"/>
    </row>
    <row r="90" spans="7:21" ht="15">
      <c r="G90" s="1360" t="s">
        <v>393</v>
      </c>
      <c r="H90" s="1361"/>
      <c r="I90" s="1361"/>
      <c r="J90" s="1361"/>
      <c r="K90" s="1361"/>
      <c r="L90" s="1361"/>
      <c r="M90" s="1361"/>
      <c r="N90" s="1361"/>
      <c r="O90" s="1361"/>
      <c r="P90" s="1361"/>
      <c r="Q90" s="1361"/>
      <c r="R90" s="1361"/>
      <c r="S90" s="751"/>
      <c r="T90" s="752"/>
      <c r="U90" s="791" t="e">
        <f>+U88-U89</f>
        <v>#N/A</v>
      </c>
    </row>
    <row r="91" spans="7:21" ht="15">
      <c r="G91" s="1364" t="s">
        <v>394</v>
      </c>
      <c r="H91" s="1365"/>
      <c r="I91" s="1365"/>
      <c r="J91" s="1365"/>
      <c r="K91" s="1365"/>
      <c r="L91" s="1365"/>
      <c r="M91" s="1365"/>
      <c r="N91" s="1365"/>
      <c r="O91" s="1365"/>
      <c r="P91" s="1365"/>
      <c r="Q91" s="1365"/>
      <c r="R91" s="1365"/>
      <c r="S91" s="778" t="s">
        <v>37</v>
      </c>
      <c r="T91" s="779" t="s">
        <v>86</v>
      </c>
      <c r="U91" s="790">
        <f>+Y20</f>
        <v>3500</v>
      </c>
    </row>
    <row r="92" spans="7:21" ht="15">
      <c r="G92" s="1344" t="s">
        <v>395</v>
      </c>
      <c r="H92" s="1345"/>
      <c r="I92" s="1345"/>
      <c r="J92" s="1345"/>
      <c r="K92" s="1345"/>
      <c r="L92" s="1345"/>
      <c r="M92" s="1345"/>
      <c r="N92" s="1345"/>
      <c r="O92" s="1345"/>
      <c r="P92" s="1345"/>
      <c r="Q92" s="1345"/>
      <c r="R92" s="1345"/>
      <c r="S92" s="778" t="s">
        <v>37</v>
      </c>
      <c r="T92" s="779" t="s">
        <v>86</v>
      </c>
      <c r="U92" s="787" t="e">
        <f>+U88-U91</f>
        <v>#N/A</v>
      </c>
    </row>
    <row r="93" spans="7:18" ht="12.75">
      <c r="G93" s="792"/>
      <c r="H93" s="792"/>
      <c r="I93" s="792"/>
      <c r="J93" s="792"/>
      <c r="K93" s="792"/>
      <c r="L93" s="792"/>
      <c r="M93" s="792"/>
      <c r="N93" s="792"/>
      <c r="O93" s="792"/>
      <c r="P93" s="792"/>
      <c r="Q93" s="792"/>
      <c r="R93" s="792"/>
    </row>
    <row r="94" spans="7:18" ht="12.75">
      <c r="G94" s="792"/>
      <c r="H94" s="792"/>
      <c r="I94" s="792"/>
      <c r="J94" s="792"/>
      <c r="K94" s="792"/>
      <c r="L94" s="792"/>
      <c r="M94" s="792"/>
      <c r="N94" s="792"/>
      <c r="O94" s="792"/>
      <c r="P94" s="792"/>
      <c r="Q94" s="792"/>
      <c r="R94" s="792"/>
    </row>
    <row r="95" spans="14:20" ht="12.75">
      <c r="N95" s="1367" t="s">
        <v>342</v>
      </c>
      <c r="O95" s="1367"/>
      <c r="P95" s="1367"/>
      <c r="Q95" s="1367"/>
      <c r="R95" s="1367"/>
      <c r="S95" s="1367"/>
      <c r="T95" s="734"/>
    </row>
    <row r="96" spans="14:20" ht="12.75">
      <c r="N96" s="1367" t="s">
        <v>396</v>
      </c>
      <c r="O96" s="1367"/>
      <c r="P96" s="1367"/>
      <c r="Q96" s="1367">
        <f>+H4</f>
        <v>0</v>
      </c>
      <c r="R96" s="1367"/>
      <c r="S96" s="1367"/>
      <c r="T96" s="1367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 hidden="1"/>
    <row r="192" spans="2:65" ht="14.25" customHeight="1" hidden="1">
      <c r="B192" s="793"/>
      <c r="C192" s="793"/>
      <c r="D192" s="793"/>
      <c r="E192" s="793"/>
      <c r="F192" s="793"/>
      <c r="G192" s="794"/>
      <c r="H192" s="1368" t="s">
        <v>284</v>
      </c>
      <c r="I192" s="1369"/>
      <c r="J192" s="1369"/>
      <c r="K192" s="1369"/>
      <c r="L192" s="1369"/>
      <c r="M192" s="1370"/>
      <c r="N192" s="795"/>
      <c r="O192" s="796"/>
      <c r="P192" s="797">
        <v>8</v>
      </c>
      <c r="Q192" s="1371" t="s">
        <v>33</v>
      </c>
      <c r="R192" s="1372"/>
      <c r="S192" s="1372"/>
      <c r="T192" s="1373"/>
      <c r="U192" s="798"/>
      <c r="AG192" s="1"/>
      <c r="AH192" s="38"/>
      <c r="AI192" s="1"/>
      <c r="AJ192" s="1"/>
      <c r="BL192" s="606">
        <f>+BL29+1</f>
        <v>6</v>
      </c>
      <c r="BM192" s="89">
        <v>150</v>
      </c>
    </row>
    <row r="193" spans="1:65" ht="16.5" hidden="1" thickBot="1">
      <c r="A193" s="50" t="s">
        <v>65</v>
      </c>
      <c r="B193" s="24"/>
      <c r="C193" s="793"/>
      <c r="D193" s="793"/>
      <c r="E193" s="793"/>
      <c r="F193" s="793"/>
      <c r="G193" s="799">
        <v>1</v>
      </c>
      <c r="H193" s="1374" t="s">
        <v>34</v>
      </c>
      <c r="I193" s="1375"/>
      <c r="J193" s="1375"/>
      <c r="K193" s="1375"/>
      <c r="L193" s="1375"/>
      <c r="M193" s="1375"/>
      <c r="N193" s="800" t="e">
        <f>ROUND(+N29,0)+T29-N192</f>
        <v>#N/A</v>
      </c>
      <c r="O193" s="801"/>
      <c r="P193" s="802">
        <v>1</v>
      </c>
      <c r="Q193" s="1376" t="s">
        <v>74</v>
      </c>
      <c r="R193" s="1377"/>
      <c r="S193" s="1378"/>
      <c r="T193" s="803" t="s">
        <v>37</v>
      </c>
      <c r="U193" s="804">
        <f>+O23</f>
        <v>0</v>
      </c>
      <c r="AG193" s="3"/>
      <c r="AH193" s="23"/>
      <c r="AI193" s="1"/>
      <c r="AJ193" s="1"/>
      <c r="AL193" s="108"/>
      <c r="AM193" s="388" t="s">
        <v>285</v>
      </c>
      <c r="AN193" s="108"/>
      <c r="AO193" s="108"/>
      <c r="AP193" s="108"/>
      <c r="BL193" s="606">
        <f aca="true" t="shared" si="28" ref="BL193:BL198">+BL192+1</f>
        <v>7</v>
      </c>
      <c r="BM193" s="89">
        <v>180</v>
      </c>
    </row>
    <row r="194" spans="1:65" ht="16.5" hidden="1" thickBot="1">
      <c r="A194" s="78">
        <f>+B5</f>
        <v>15000</v>
      </c>
      <c r="B194" s="24"/>
      <c r="C194" s="793"/>
      <c r="D194" s="793"/>
      <c r="E194" s="793"/>
      <c r="F194" s="793"/>
      <c r="G194" s="799">
        <v>2</v>
      </c>
      <c r="H194" s="1379" t="s">
        <v>35</v>
      </c>
      <c r="I194" s="1380"/>
      <c r="J194" s="1380"/>
      <c r="K194" s="1380"/>
      <c r="L194" s="1381"/>
      <c r="M194" s="805" t="s">
        <v>36</v>
      </c>
      <c r="N194" s="806">
        <f>AO28</f>
        <v>0</v>
      </c>
      <c r="O194" s="801"/>
      <c r="P194" s="802">
        <v>2</v>
      </c>
      <c r="Q194" s="954" t="s">
        <v>274</v>
      </c>
      <c r="R194" s="955"/>
      <c r="S194" s="956"/>
      <c r="T194" s="807" t="s">
        <v>37</v>
      </c>
      <c r="U194" s="808">
        <v>0</v>
      </c>
      <c r="AG194" s="1"/>
      <c r="AH194" s="1"/>
      <c r="AI194" s="1"/>
      <c r="AJ194" s="1"/>
      <c r="AL194" s="390">
        <f>+B19</f>
        <v>0</v>
      </c>
      <c r="AM194" s="389" t="s">
        <v>237</v>
      </c>
      <c r="AN194" s="390">
        <v>0</v>
      </c>
      <c r="AO194" s="390" t="e">
        <f>VLOOKUP(+AL194,AM194:AN195,2)</f>
        <v>#N/A</v>
      </c>
      <c r="AP194" s="108"/>
      <c r="BL194" s="606">
        <f t="shared" si="28"/>
        <v>8</v>
      </c>
      <c r="BM194" s="89">
        <v>180</v>
      </c>
    </row>
    <row r="195" spans="1:65" ht="15.75" hidden="1">
      <c r="A195" s="17">
        <f>+B6</f>
        <v>2200</v>
      </c>
      <c r="B195" s="24"/>
      <c r="C195" s="793"/>
      <c r="D195" s="793"/>
      <c r="E195" s="793"/>
      <c r="F195" s="793"/>
      <c r="G195" s="799"/>
      <c r="H195" s="1382"/>
      <c r="I195" s="1383"/>
      <c r="J195" s="1383"/>
      <c r="K195" s="1383"/>
      <c r="L195" s="1383"/>
      <c r="M195" s="1383"/>
      <c r="N195" s="800" t="e">
        <f>+N193-N194</f>
        <v>#N/A</v>
      </c>
      <c r="O195" s="801"/>
      <c r="P195" s="802">
        <v>3</v>
      </c>
      <c r="Q195" s="1376" t="s">
        <v>75</v>
      </c>
      <c r="R195" s="1377"/>
      <c r="S195" s="1378"/>
      <c r="T195" s="803" t="s">
        <v>37</v>
      </c>
      <c r="U195" s="804">
        <f>+P23</f>
        <v>0</v>
      </c>
      <c r="AL195" s="390"/>
      <c r="AM195" s="390" t="s">
        <v>236</v>
      </c>
      <c r="AN195" s="390">
        <f>ROUND(N14/30,0)</f>
        <v>1440</v>
      </c>
      <c r="AO195" s="390"/>
      <c r="AP195" s="108"/>
      <c r="BL195" s="606">
        <f t="shared" si="28"/>
        <v>9</v>
      </c>
      <c r="BM195" s="89">
        <v>180</v>
      </c>
    </row>
    <row r="196" spans="1:65" ht="16.5" hidden="1" thickBot="1">
      <c r="A196" s="17">
        <f>+A194+A195</f>
        <v>17200</v>
      </c>
      <c r="B196" s="24"/>
      <c r="C196" s="793"/>
      <c r="D196" s="793"/>
      <c r="E196" s="793"/>
      <c r="F196" s="793"/>
      <c r="G196" s="799">
        <v>3</v>
      </c>
      <c r="H196" s="1374" t="s">
        <v>273</v>
      </c>
      <c r="I196" s="1375"/>
      <c r="J196" s="1375"/>
      <c r="K196" s="1375"/>
      <c r="L196" s="1384"/>
      <c r="M196" s="805" t="s">
        <v>36</v>
      </c>
      <c r="N196" s="806">
        <f>T23+BM201</f>
        <v>4230</v>
      </c>
      <c r="O196" s="801"/>
      <c r="P196" s="802">
        <v>4</v>
      </c>
      <c r="Q196" s="954" t="s">
        <v>76</v>
      </c>
      <c r="R196" s="955"/>
      <c r="S196" s="956"/>
      <c r="T196" s="803" t="s">
        <v>37</v>
      </c>
      <c r="U196" s="808">
        <v>0</v>
      </c>
      <c r="BL196" s="606">
        <f t="shared" si="28"/>
        <v>10</v>
      </c>
      <c r="BM196" s="89">
        <v>180</v>
      </c>
    </row>
    <row r="197" spans="1:65" ht="15.75" hidden="1">
      <c r="A197" s="77">
        <f>+A196*3/100</f>
        <v>516</v>
      </c>
      <c r="B197" s="24"/>
      <c r="C197" s="793"/>
      <c r="D197" s="793"/>
      <c r="E197" s="793"/>
      <c r="F197" s="793"/>
      <c r="G197" s="799"/>
      <c r="H197" s="1382"/>
      <c r="I197" s="1383"/>
      <c r="J197" s="1383"/>
      <c r="K197" s="1383"/>
      <c r="L197" s="1383"/>
      <c r="M197" s="1383"/>
      <c r="N197" s="800" t="e">
        <f>+N195-N196</f>
        <v>#N/A</v>
      </c>
      <c r="O197" s="801"/>
      <c r="P197" s="802">
        <v>5</v>
      </c>
      <c r="Q197" s="1376" t="s">
        <v>77</v>
      </c>
      <c r="R197" s="1377"/>
      <c r="S197" s="1378"/>
      <c r="T197" s="803" t="s">
        <v>37</v>
      </c>
      <c r="U197" s="804">
        <f>+Q23</f>
        <v>0</v>
      </c>
      <c r="BL197" s="606">
        <f t="shared" si="28"/>
        <v>11</v>
      </c>
      <c r="BM197" s="89">
        <v>180</v>
      </c>
    </row>
    <row r="198" spans="1:65" ht="16.5" hidden="1" thickBot="1">
      <c r="A198" s="77">
        <f>ROUNDDOWN(A197,0.1)</f>
        <v>516</v>
      </c>
      <c r="B198" s="24"/>
      <c r="C198" s="793"/>
      <c r="D198" s="793"/>
      <c r="E198" s="793"/>
      <c r="F198" s="793"/>
      <c r="G198" s="799">
        <v>4</v>
      </c>
      <c r="H198" s="1379" t="s">
        <v>38</v>
      </c>
      <c r="I198" s="1380"/>
      <c r="J198" s="1380"/>
      <c r="K198" s="1380"/>
      <c r="L198" s="1381"/>
      <c r="M198" s="805" t="s">
        <v>36</v>
      </c>
      <c r="N198" s="809">
        <f>IF(H199&gt;200000,200000,IF(H199&lt;200000,H199,0))</f>
        <v>0</v>
      </c>
      <c r="O198" s="801"/>
      <c r="P198" s="802">
        <v>8</v>
      </c>
      <c r="Q198" s="810" t="s">
        <v>78</v>
      </c>
      <c r="R198" s="811"/>
      <c r="S198" s="812"/>
      <c r="T198" s="803" t="s">
        <v>37</v>
      </c>
      <c r="U198" s="808">
        <f>+R23</f>
        <v>0</v>
      </c>
      <c r="W198" s="194" t="s">
        <v>282</v>
      </c>
      <c r="BL198" s="606">
        <f t="shared" si="28"/>
        <v>12</v>
      </c>
      <c r="BM198" s="89">
        <v>180</v>
      </c>
    </row>
    <row r="199" spans="1:65" ht="15.75" hidden="1">
      <c r="A199" s="97">
        <f>CEILING(A198,10)</f>
        <v>520</v>
      </c>
      <c r="B199" s="30"/>
      <c r="C199" s="793"/>
      <c r="D199" s="793"/>
      <c r="E199" s="793"/>
      <c r="F199" s="793"/>
      <c r="G199" s="799"/>
      <c r="H199" s="1385">
        <v>0</v>
      </c>
      <c r="I199" s="1386"/>
      <c r="J199" s="813"/>
      <c r="K199" s="813"/>
      <c r="L199" s="813"/>
      <c r="M199" s="813"/>
      <c r="N199" s="800" t="e">
        <f>+N197-N198</f>
        <v>#N/A</v>
      </c>
      <c r="O199" s="801"/>
      <c r="P199" s="802">
        <v>7</v>
      </c>
      <c r="Q199" s="954" t="s">
        <v>79</v>
      </c>
      <c r="R199" s="955"/>
      <c r="S199" s="956"/>
      <c r="T199" s="803" t="s">
        <v>37</v>
      </c>
      <c r="U199" s="808">
        <v>0</v>
      </c>
      <c r="W199" s="194" t="s">
        <v>281</v>
      </c>
      <c r="BL199" s="606">
        <v>1</v>
      </c>
      <c r="BM199" s="89">
        <v>180</v>
      </c>
    </row>
    <row r="200" spans="1:65" ht="16.5" hidden="1" thickBot="1">
      <c r="A200" s="98">
        <f>+A194+A199</f>
        <v>15520</v>
      </c>
      <c r="C200" s="793"/>
      <c r="D200" s="793"/>
      <c r="E200" s="793"/>
      <c r="F200" s="793"/>
      <c r="G200" s="799">
        <v>5</v>
      </c>
      <c r="H200" s="1379" t="s">
        <v>39</v>
      </c>
      <c r="I200" s="1380"/>
      <c r="J200" s="1380"/>
      <c r="K200" s="1380"/>
      <c r="L200" s="1381"/>
      <c r="M200" s="805" t="s">
        <v>36</v>
      </c>
      <c r="N200" s="809">
        <f>IF(H201&gt;25000,25000,IF(H201&lt;25000,H201,0))</f>
        <v>0</v>
      </c>
      <c r="O200" s="801"/>
      <c r="P200" s="802">
        <v>8</v>
      </c>
      <c r="Q200" s="954" t="s">
        <v>80</v>
      </c>
      <c r="R200" s="955"/>
      <c r="S200" s="956"/>
      <c r="T200" s="803" t="s">
        <v>37</v>
      </c>
      <c r="U200" s="808">
        <v>0</v>
      </c>
      <c r="W200" s="194" t="s">
        <v>278</v>
      </c>
      <c r="X200" s="194"/>
      <c r="Y200" s="194"/>
      <c r="BL200" s="606">
        <f>+BL199+1</f>
        <v>2</v>
      </c>
      <c r="BM200" s="89">
        <v>180</v>
      </c>
    </row>
    <row r="201" spans="1:65" ht="16.5" hidden="1" thickBot="1">
      <c r="A201" s="103" t="s">
        <v>239</v>
      </c>
      <c r="B201" s="398" t="str">
        <f>+B11</f>
        <v>N</v>
      </c>
      <c r="C201" s="793"/>
      <c r="D201" s="793"/>
      <c r="E201" s="793"/>
      <c r="F201" s="793"/>
      <c r="G201" s="799"/>
      <c r="H201" s="1385">
        <v>0</v>
      </c>
      <c r="I201" s="1386"/>
      <c r="J201" s="813"/>
      <c r="K201" s="813"/>
      <c r="L201" s="813"/>
      <c r="M201" s="813"/>
      <c r="N201" s="800" t="e">
        <f>+N199-N200</f>
        <v>#N/A</v>
      </c>
      <c r="O201" s="801"/>
      <c r="P201" s="802">
        <v>9</v>
      </c>
      <c r="Q201" s="954" t="s">
        <v>81</v>
      </c>
      <c r="R201" s="955"/>
      <c r="S201" s="956"/>
      <c r="T201" s="803" t="s">
        <v>37</v>
      </c>
      <c r="U201" s="806">
        <f>+S23</f>
        <v>0</v>
      </c>
      <c r="W201" s="194" t="s">
        <v>277</v>
      </c>
      <c r="X201" s="194"/>
      <c r="Y201" s="194"/>
      <c r="BL201" s="607"/>
      <c r="BM201" s="608">
        <f>SUM(BM27:BM200)</f>
        <v>2040</v>
      </c>
    </row>
    <row r="202" spans="2:23" ht="12.75" hidden="1">
      <c r="B202" s="793"/>
      <c r="C202" s="793"/>
      <c r="D202" s="793"/>
      <c r="E202" s="793"/>
      <c r="F202" s="793"/>
      <c r="G202" s="799"/>
      <c r="H202" s="1382"/>
      <c r="I202" s="1383"/>
      <c r="J202" s="1383"/>
      <c r="K202" s="1383"/>
      <c r="L202" s="1383"/>
      <c r="M202" s="1383"/>
      <c r="N202" s="804"/>
      <c r="O202" s="801"/>
      <c r="P202" s="814"/>
      <c r="Q202" s="1387" t="s">
        <v>3</v>
      </c>
      <c r="R202" s="1388"/>
      <c r="S202" s="1389"/>
      <c r="T202" s="803" t="s">
        <v>37</v>
      </c>
      <c r="U202" s="800">
        <f>SUM(U193:U201)</f>
        <v>0</v>
      </c>
      <c r="W202" s="194" t="s">
        <v>279</v>
      </c>
    </row>
    <row r="203" spans="2:23" ht="13.5" hidden="1" thickBot="1">
      <c r="B203" s="793"/>
      <c r="C203" s="793"/>
      <c r="D203" s="793"/>
      <c r="E203" s="793"/>
      <c r="F203" s="793"/>
      <c r="G203" s="799">
        <v>6</v>
      </c>
      <c r="H203" s="1379" t="s">
        <v>230</v>
      </c>
      <c r="I203" s="1380"/>
      <c r="J203" s="1380"/>
      <c r="K203" s="1380"/>
      <c r="L203" s="1381"/>
      <c r="M203" s="805" t="s">
        <v>36</v>
      </c>
      <c r="N203" s="806">
        <v>0</v>
      </c>
      <c r="O203" s="801"/>
      <c r="P203" s="814"/>
      <c r="Q203" s="1387"/>
      <c r="R203" s="1388"/>
      <c r="S203" s="1388"/>
      <c r="T203" s="1390"/>
      <c r="U203" s="804"/>
      <c r="V203" s="505"/>
      <c r="W203" s="194" t="s">
        <v>280</v>
      </c>
    </row>
    <row r="204" spans="2:22" ht="12.75" hidden="1">
      <c r="B204" s="793"/>
      <c r="C204" s="793"/>
      <c r="D204" s="793"/>
      <c r="E204" s="793"/>
      <c r="F204" s="793"/>
      <c r="G204" s="815"/>
      <c r="H204" s="1382"/>
      <c r="I204" s="1383"/>
      <c r="J204" s="1383"/>
      <c r="K204" s="1383"/>
      <c r="L204" s="1383"/>
      <c r="M204" s="1383"/>
      <c r="N204" s="800" t="e">
        <f>+N201-N203</f>
        <v>#N/A</v>
      </c>
      <c r="O204" s="801"/>
      <c r="P204" s="816">
        <v>9</v>
      </c>
      <c r="Q204" s="1391" t="s">
        <v>276</v>
      </c>
      <c r="R204" s="1375"/>
      <c r="S204" s="1384"/>
      <c r="T204" s="817"/>
      <c r="U204" s="818">
        <f>IF(U202&gt;150001,150000,IF(AND(U202&lt;150001),U202))</f>
        <v>0</v>
      </c>
      <c r="V204" s="505"/>
    </row>
    <row r="205" spans="2:23" ht="13.5" hidden="1" thickBot="1">
      <c r="B205" s="793"/>
      <c r="C205" s="793"/>
      <c r="D205" s="793"/>
      <c r="E205" s="793"/>
      <c r="F205" s="793"/>
      <c r="G205" s="815"/>
      <c r="H205" s="1382"/>
      <c r="I205" s="1383"/>
      <c r="J205" s="1383"/>
      <c r="K205" s="1383"/>
      <c r="L205" s="1383"/>
      <c r="M205" s="1383"/>
      <c r="N205" s="804"/>
      <c r="O205" s="801"/>
      <c r="P205" s="816"/>
      <c r="Q205" s="1391"/>
      <c r="R205" s="1375"/>
      <c r="S205" s="1384"/>
      <c r="T205" s="819"/>
      <c r="U205" s="806"/>
      <c r="W205" s="101" t="e">
        <f>+U209</f>
        <v>#N/A</v>
      </c>
    </row>
    <row r="206" spans="2:23" ht="12.75" hidden="1">
      <c r="B206" s="793"/>
      <c r="C206" s="793"/>
      <c r="D206" s="793"/>
      <c r="E206" s="793"/>
      <c r="F206" s="793"/>
      <c r="G206" s="799">
        <v>7</v>
      </c>
      <c r="H206" s="1374" t="s">
        <v>40</v>
      </c>
      <c r="I206" s="1375"/>
      <c r="J206" s="1375"/>
      <c r="K206" s="1375"/>
      <c r="L206" s="1375"/>
      <c r="M206" s="1375"/>
      <c r="N206" s="804" t="e">
        <f>N204</f>
        <v>#N/A</v>
      </c>
      <c r="O206" s="801"/>
      <c r="P206" s="820"/>
      <c r="Q206" s="1387"/>
      <c r="R206" s="1388"/>
      <c r="S206" s="1388"/>
      <c r="T206" s="1390"/>
      <c r="U206" s="821">
        <f>+U204+U205</f>
        <v>0</v>
      </c>
      <c r="W206" s="102" t="e">
        <f>+T210</f>
        <v>#N/A</v>
      </c>
    </row>
    <row r="207" spans="2:23" ht="12.75" hidden="1">
      <c r="B207" s="793"/>
      <c r="C207" s="793"/>
      <c r="D207" s="793"/>
      <c r="E207" s="793"/>
      <c r="F207" s="793"/>
      <c r="G207" s="815"/>
      <c r="H207" s="1374" t="s">
        <v>42</v>
      </c>
      <c r="I207" s="1375"/>
      <c r="J207" s="1375"/>
      <c r="K207" s="1375"/>
      <c r="L207" s="1384"/>
      <c r="M207" s="805" t="s">
        <v>36</v>
      </c>
      <c r="N207" s="808">
        <f>+U206</f>
        <v>0</v>
      </c>
      <c r="O207" s="801"/>
      <c r="P207" s="816">
        <v>10</v>
      </c>
      <c r="Q207" s="1391" t="str">
        <f>+H210</f>
        <v>TAXABLE INCOME ROUNDED OFF</v>
      </c>
      <c r="R207" s="1375"/>
      <c r="S207" s="1375"/>
      <c r="T207" s="1392"/>
      <c r="U207" s="804" t="e">
        <f>+N210</f>
        <v>#N/A</v>
      </c>
      <c r="W207" s="101" t="e">
        <f>+W205-W206</f>
        <v>#N/A</v>
      </c>
    </row>
    <row r="208" spans="2:23" ht="13.5" hidden="1" thickBot="1">
      <c r="B208" s="793"/>
      <c r="C208" s="793"/>
      <c r="D208" s="793"/>
      <c r="E208" s="793"/>
      <c r="F208" s="793"/>
      <c r="G208" s="815"/>
      <c r="H208" s="1382"/>
      <c r="I208" s="1383"/>
      <c r="J208" s="1383"/>
      <c r="K208" s="1383"/>
      <c r="L208" s="1383"/>
      <c r="M208" s="1383"/>
      <c r="N208" s="804"/>
      <c r="O208" s="801"/>
      <c r="P208" s="816">
        <v>11</v>
      </c>
      <c r="Q208" s="1391" t="str">
        <f>VLOOKUP(B4,AW6:AX7,2)</f>
        <v>UPTO RS.250000/= (   NIL  )</v>
      </c>
      <c r="R208" s="1375"/>
      <c r="S208" s="1375"/>
      <c r="T208" s="1392"/>
      <c r="U208" s="822">
        <f>VLOOKUP(B4,AP6:AQ7,2,FALSE)</f>
        <v>250000</v>
      </c>
      <c r="W208" s="102" t="e">
        <f>+T211</f>
        <v>#N/A</v>
      </c>
    </row>
    <row r="209" spans="2:24" ht="13.5" hidden="1" thickBot="1">
      <c r="B209" s="793"/>
      <c r="C209" s="793"/>
      <c r="D209" s="793"/>
      <c r="E209" s="793"/>
      <c r="F209" s="793"/>
      <c r="G209" s="815"/>
      <c r="H209" s="1374" t="s">
        <v>44</v>
      </c>
      <c r="I209" s="1375"/>
      <c r="J209" s="1375"/>
      <c r="K209" s="1375"/>
      <c r="L209" s="1375"/>
      <c r="M209" s="1375"/>
      <c r="N209" s="804" t="e">
        <f>+N206-N207</f>
        <v>#N/A</v>
      </c>
      <c r="O209" s="801"/>
      <c r="P209" s="814"/>
      <c r="Q209" s="1393"/>
      <c r="R209" s="1394"/>
      <c r="S209" s="1394"/>
      <c r="T209" s="1395"/>
      <c r="U209" s="823" t="e">
        <f>+U207-U208</f>
        <v>#N/A</v>
      </c>
      <c r="W209" s="101" t="e">
        <f>+W207-W208</f>
        <v>#N/A</v>
      </c>
      <c r="X209" s="1"/>
    </row>
    <row r="210" spans="2:34" ht="12.75" hidden="1">
      <c r="B210" s="793"/>
      <c r="C210" s="793"/>
      <c r="D210" s="793"/>
      <c r="E210" s="793"/>
      <c r="F210" s="793"/>
      <c r="G210" s="815"/>
      <c r="H210" s="1374" t="s">
        <v>45</v>
      </c>
      <c r="I210" s="1375"/>
      <c r="J210" s="1375"/>
      <c r="K210" s="1375"/>
      <c r="L210" s="1375"/>
      <c r="M210" s="1375"/>
      <c r="N210" s="808" t="e">
        <f>ROUND(+N209,-1)</f>
        <v>#N/A</v>
      </c>
      <c r="O210" s="801"/>
      <c r="P210" s="803">
        <v>12</v>
      </c>
      <c r="Q210" s="1396" t="s">
        <v>397</v>
      </c>
      <c r="R210" s="1397"/>
      <c r="S210" s="1398"/>
      <c r="T210" s="824" t="e">
        <f>VLOOKUP(B4,AW12:AX13,2)</f>
        <v>#N/A</v>
      </c>
      <c r="U210" s="825" t="e">
        <f>ROUND(+T210*10%,0)</f>
        <v>#N/A</v>
      </c>
      <c r="Z210" s="11"/>
      <c r="AB210" s="11"/>
      <c r="AH210" s="11"/>
    </row>
    <row r="211" spans="2:34" ht="12.75" hidden="1">
      <c r="B211" s="793"/>
      <c r="C211" s="793"/>
      <c r="D211" s="793"/>
      <c r="E211" s="793"/>
      <c r="F211" s="793"/>
      <c r="G211" s="815"/>
      <c r="H211" s="1382"/>
      <c r="I211" s="1383"/>
      <c r="J211" s="1383"/>
      <c r="K211" s="1383"/>
      <c r="L211" s="1383"/>
      <c r="M211" s="1383"/>
      <c r="N211" s="804"/>
      <c r="O211" s="801"/>
      <c r="P211" s="819"/>
      <c r="Q211" s="1399" t="s">
        <v>229</v>
      </c>
      <c r="R211" s="1375"/>
      <c r="S211" s="1384"/>
      <c r="T211" s="826" t="e">
        <f>IF(U209&gt;600000,BH7,IF(U209&lt;600000,BH6,0))</f>
        <v>#N/A</v>
      </c>
      <c r="U211" s="804" t="e">
        <f>ROUND(+T211*20%,0)</f>
        <v>#N/A</v>
      </c>
      <c r="Z211" s="33"/>
      <c r="AH211" s="11"/>
    </row>
    <row r="212" spans="2:26" ht="13.5" hidden="1" thickBot="1">
      <c r="B212" s="793"/>
      <c r="C212" s="793"/>
      <c r="D212" s="793"/>
      <c r="E212" s="793"/>
      <c r="F212" s="793"/>
      <c r="G212" s="815"/>
      <c r="H212" s="1382"/>
      <c r="I212" s="1383"/>
      <c r="J212" s="1383"/>
      <c r="K212" s="1383"/>
      <c r="L212" s="1383"/>
      <c r="M212" s="1383"/>
      <c r="N212" s="804"/>
      <c r="O212" s="801"/>
      <c r="P212" s="819"/>
      <c r="Q212" s="1400" t="s">
        <v>290</v>
      </c>
      <c r="R212" s="1401"/>
      <c r="S212" s="1402"/>
      <c r="T212" s="827" t="e">
        <f>IF(U209&gt;2000000,2000000,IF(U209&lt;2000000,U209-T210-T211,0))</f>
        <v>#N/A</v>
      </c>
      <c r="U212" s="822" t="e">
        <f>ROUND(+T212*30%,0)</f>
        <v>#N/A</v>
      </c>
      <c r="W212" s="49"/>
      <c r="Z212" s="33"/>
    </row>
    <row r="213" spans="2:23" ht="13.5" hidden="1" thickBot="1">
      <c r="B213" s="793"/>
      <c r="C213" s="793"/>
      <c r="D213" s="793"/>
      <c r="E213" s="793"/>
      <c r="F213" s="793"/>
      <c r="G213" s="828"/>
      <c r="H213" s="1374" t="s">
        <v>47</v>
      </c>
      <c r="I213" s="1375"/>
      <c r="J213" s="1375"/>
      <c r="K213" s="1375"/>
      <c r="L213" s="1375"/>
      <c r="M213" s="1375"/>
      <c r="N213" s="804" t="e">
        <f>+U218</f>
        <v>#N/A</v>
      </c>
      <c r="O213" s="829"/>
      <c r="P213" s="817"/>
      <c r="Q213" s="1403" t="s">
        <v>3</v>
      </c>
      <c r="R213" s="1404"/>
      <c r="S213" s="397" t="e">
        <f>+U209</f>
        <v>#N/A</v>
      </c>
      <c r="T213" s="830" t="e">
        <f>SUM(T210:T212)</f>
        <v>#N/A</v>
      </c>
      <c r="U213" s="831" t="e">
        <f>SUM(U210:U212)</f>
        <v>#N/A</v>
      </c>
      <c r="W213" s="49"/>
    </row>
    <row r="214" spans="2:23" ht="12.75" hidden="1">
      <c r="B214" s="793"/>
      <c r="C214" s="793"/>
      <c r="D214" s="793"/>
      <c r="E214" s="793"/>
      <c r="F214" s="793"/>
      <c r="G214" s="828"/>
      <c r="H214" s="1382"/>
      <c r="I214" s="1383"/>
      <c r="J214" s="1383"/>
      <c r="K214" s="1383"/>
      <c r="L214" s="1383"/>
      <c r="M214" s="1383"/>
      <c r="N214" s="804"/>
      <c r="O214" s="829"/>
      <c r="P214" s="816">
        <v>13</v>
      </c>
      <c r="Q214" s="1405" t="s">
        <v>46</v>
      </c>
      <c r="R214" s="1406"/>
      <c r="S214" s="1407"/>
      <c r="T214" s="817"/>
      <c r="U214" s="804" t="e">
        <f>+U213</f>
        <v>#N/A</v>
      </c>
      <c r="W214" s="1"/>
    </row>
    <row r="215" spans="2:21" ht="13.5" hidden="1" thickBot="1">
      <c r="B215" s="1408" t="s">
        <v>57</v>
      </c>
      <c r="C215" s="1409"/>
      <c r="D215" s="1409"/>
      <c r="E215" s="1410"/>
      <c r="F215" s="793"/>
      <c r="G215" s="828"/>
      <c r="H215" s="1411" t="s">
        <v>84</v>
      </c>
      <c r="I215" s="1412"/>
      <c r="J215" s="1412"/>
      <c r="K215" s="1412"/>
      <c r="L215" s="1412"/>
      <c r="M215" s="1412"/>
      <c r="N215" s="806">
        <f>+C222</f>
        <v>0</v>
      </c>
      <c r="O215" s="829"/>
      <c r="P215" s="816">
        <v>14</v>
      </c>
      <c r="Q215" s="1391" t="s">
        <v>231</v>
      </c>
      <c r="R215" s="1375"/>
      <c r="S215" s="1375"/>
      <c r="T215" s="1384"/>
      <c r="U215" s="832" t="s">
        <v>398</v>
      </c>
    </row>
    <row r="216" spans="2:21" ht="13.5" hidden="1" thickBot="1">
      <c r="B216" s="833" t="s">
        <v>58</v>
      </c>
      <c r="C216" s="834" t="s">
        <v>59</v>
      </c>
      <c r="D216" s="1413" t="s">
        <v>60</v>
      </c>
      <c r="E216" s="1414"/>
      <c r="F216" s="793"/>
      <c r="G216" s="828"/>
      <c r="H216" s="1382"/>
      <c r="I216" s="1383"/>
      <c r="J216" s="1383"/>
      <c r="K216" s="1383"/>
      <c r="L216" s="1383"/>
      <c r="M216" s="1383"/>
      <c r="N216" s="821" t="e">
        <f>+N213-N215</f>
        <v>#N/A</v>
      </c>
      <c r="O216" s="829"/>
      <c r="P216" s="803"/>
      <c r="Q216" s="1415" t="s">
        <v>46</v>
      </c>
      <c r="R216" s="1415"/>
      <c r="S216" s="1415"/>
      <c r="T216" s="835"/>
      <c r="U216" s="800" t="e">
        <f>U214-U215</f>
        <v>#N/A</v>
      </c>
    </row>
    <row r="217" spans="2:27" ht="13.5" hidden="1" thickBot="1">
      <c r="B217" s="836"/>
      <c r="C217" s="837">
        <v>0</v>
      </c>
      <c r="D217" s="1416"/>
      <c r="E217" s="1417"/>
      <c r="F217" s="793"/>
      <c r="G217" s="828"/>
      <c r="H217" s="1374" t="s">
        <v>48</v>
      </c>
      <c r="I217" s="1375"/>
      <c r="J217" s="1375"/>
      <c r="K217" s="1375"/>
      <c r="L217" s="1375"/>
      <c r="M217" s="1375"/>
      <c r="N217" s="822">
        <f>+U23</f>
        <v>4591</v>
      </c>
      <c r="O217" s="829"/>
      <c r="P217" s="816">
        <v>15</v>
      </c>
      <c r="Q217" s="1371" t="s">
        <v>291</v>
      </c>
      <c r="R217" s="1372"/>
      <c r="S217" s="1372"/>
      <c r="T217" s="1392"/>
      <c r="U217" s="822" t="e">
        <f>ROUND(+U216*3%,0)</f>
        <v>#N/A</v>
      </c>
      <c r="AA217" s="726"/>
    </row>
    <row r="218" spans="2:21" ht="13.5" hidden="1" thickBot="1">
      <c r="B218" s="838"/>
      <c r="C218" s="839"/>
      <c r="D218" s="1418"/>
      <c r="E218" s="1419"/>
      <c r="F218" s="793"/>
      <c r="G218" s="828"/>
      <c r="H218" s="1374" t="s">
        <v>49</v>
      </c>
      <c r="I218" s="1375"/>
      <c r="J218" s="1375"/>
      <c r="K218" s="1375"/>
      <c r="L218" s="1375"/>
      <c r="M218" s="1375"/>
      <c r="N218" s="840" t="e">
        <f>+N216-N217</f>
        <v>#N/A</v>
      </c>
      <c r="O218" s="829"/>
      <c r="P218" s="816">
        <v>16</v>
      </c>
      <c r="Q218" s="1391" t="s">
        <v>50</v>
      </c>
      <c r="R218" s="1375"/>
      <c r="S218" s="1375"/>
      <c r="T218" s="1392"/>
      <c r="U218" s="804" t="e">
        <f>U216+U217</f>
        <v>#N/A</v>
      </c>
    </row>
    <row r="219" spans="2:21" ht="26.25" customHeight="1" hidden="1">
      <c r="B219" s="838"/>
      <c r="C219" s="839"/>
      <c r="D219" s="1420"/>
      <c r="E219" s="1419"/>
      <c r="F219" s="793"/>
      <c r="G219" s="1052" t="s">
        <v>399</v>
      </c>
      <c r="H219" s="1053"/>
      <c r="I219" s="1053"/>
      <c r="J219" s="1053"/>
      <c r="K219" s="1053"/>
      <c r="L219" s="1053"/>
      <c r="M219" s="1053"/>
      <c r="N219" s="1053"/>
      <c r="O219" s="1053"/>
      <c r="P219" s="1053"/>
      <c r="Q219" s="1053"/>
      <c r="R219" s="1053"/>
      <c r="S219" s="1053"/>
      <c r="T219" s="1053"/>
      <c r="U219" s="1054"/>
    </row>
    <row r="220" spans="2:42" ht="12.75" hidden="1">
      <c r="B220" s="838"/>
      <c r="C220" s="839"/>
      <c r="D220" s="1420"/>
      <c r="E220" s="1419"/>
      <c r="F220" s="793"/>
      <c r="G220" s="1421" t="s">
        <v>55</v>
      </c>
      <c r="H220" s="1422"/>
      <c r="I220" s="1422"/>
      <c r="J220" s="1422"/>
      <c r="K220" s="1422"/>
      <c r="L220" s="1422"/>
      <c r="M220" s="1422"/>
      <c r="N220" s="1422"/>
      <c r="O220" s="1422"/>
      <c r="P220" s="1422"/>
      <c r="Q220" s="1422"/>
      <c r="R220" s="1422"/>
      <c r="S220" s="1422"/>
      <c r="T220" s="1422"/>
      <c r="U220" s="1423"/>
      <c r="AK220" s="2"/>
      <c r="AL220" s="47"/>
      <c r="AM220" s="1"/>
      <c r="AN220" s="1"/>
      <c r="AO220" s="1"/>
      <c r="AP220" s="1"/>
    </row>
    <row r="221" spans="2:42" ht="12.75" hidden="1">
      <c r="B221" s="842"/>
      <c r="C221" s="843"/>
      <c r="D221" s="1424"/>
      <c r="E221" s="1425"/>
      <c r="F221" s="793"/>
      <c r="G221" s="1421" t="s">
        <v>400</v>
      </c>
      <c r="H221" s="1422"/>
      <c r="I221" s="1422"/>
      <c r="J221" s="1422"/>
      <c r="K221" s="1422"/>
      <c r="L221" s="1422"/>
      <c r="M221" s="1422"/>
      <c r="N221" s="1422"/>
      <c r="O221" s="1422"/>
      <c r="P221" s="1422"/>
      <c r="Q221" s="1422"/>
      <c r="R221" s="1422"/>
      <c r="S221" s="1422"/>
      <c r="T221" s="1422"/>
      <c r="U221" s="1423"/>
      <c r="AK221" s="2"/>
      <c r="AL221" s="47"/>
      <c r="AM221" s="1"/>
      <c r="AN221" s="1"/>
      <c r="AO221" s="1"/>
      <c r="AP221" s="1"/>
    </row>
    <row r="222" spans="2:42" ht="13.5" hidden="1" thickBot="1">
      <c r="B222" s="845" t="s">
        <v>3</v>
      </c>
      <c r="C222" s="834">
        <f>SUM(C217:C221)</f>
        <v>0</v>
      </c>
      <c r="D222" s="1413"/>
      <c r="E222" s="1414"/>
      <c r="F222" s="793"/>
      <c r="G222" s="846"/>
      <c r="H222" s="847"/>
      <c r="I222" s="847"/>
      <c r="J222" s="847"/>
      <c r="K222" s="847"/>
      <c r="L222" s="847"/>
      <c r="M222" s="847"/>
      <c r="N222" s="847"/>
      <c r="O222" s="847"/>
      <c r="P222" s="847"/>
      <c r="Q222" s="847"/>
      <c r="R222" s="847"/>
      <c r="S222" s="848" t="s">
        <v>51</v>
      </c>
      <c r="T222" s="847"/>
      <c r="U222" s="849"/>
      <c r="AK222" s="2"/>
      <c r="AL222" s="47"/>
      <c r="AM222" s="1"/>
      <c r="AN222" s="1"/>
      <c r="AO222" s="1"/>
      <c r="AP222" s="1"/>
    </row>
    <row r="223" spans="2:42" ht="12.75" hidden="1">
      <c r="B223" s="793"/>
      <c r="C223" s="793"/>
      <c r="D223" s="793"/>
      <c r="E223" s="793"/>
      <c r="F223" s="793"/>
      <c r="G223" s="793"/>
      <c r="H223" s="793"/>
      <c r="I223" s="850"/>
      <c r="J223" s="850"/>
      <c r="K223" s="850"/>
      <c r="L223" s="850"/>
      <c r="M223" s="850"/>
      <c r="N223" s="850"/>
      <c r="O223" s="793"/>
      <c r="P223" s="793"/>
      <c r="Q223" s="793"/>
      <c r="R223" s="793"/>
      <c r="S223" s="793"/>
      <c r="T223" s="793"/>
      <c r="U223" s="793"/>
      <c r="AK223" s="1"/>
      <c r="AL223" s="35"/>
      <c r="AM223" s="35"/>
      <c r="AN223" s="1"/>
      <c r="AO223" s="1"/>
      <c r="AP223" s="1"/>
    </row>
    <row r="224" spans="2:36" ht="12.75" hidden="1">
      <c r="B224" s="793"/>
      <c r="C224" s="793"/>
      <c r="D224" s="793"/>
      <c r="E224" s="793"/>
      <c r="F224" s="793"/>
      <c r="G224" s="793"/>
      <c r="H224" s="793"/>
      <c r="I224" s="793"/>
      <c r="J224" s="793"/>
      <c r="K224" s="793"/>
      <c r="L224" s="793"/>
      <c r="M224" s="793"/>
      <c r="N224" s="793"/>
      <c r="O224" s="793"/>
      <c r="P224" s="793"/>
      <c r="Q224" s="793"/>
      <c r="R224" s="793"/>
      <c r="S224" s="793"/>
      <c r="T224" s="793"/>
      <c r="U224" s="793"/>
      <c r="AJ224" s="3"/>
    </row>
    <row r="225" spans="2:36" ht="13.5" hidden="1" thickBot="1">
      <c r="B225" s="1408" t="s">
        <v>61</v>
      </c>
      <c r="C225" s="1432"/>
      <c r="D225" s="1409"/>
      <c r="E225" s="1410"/>
      <c r="F225" s="793"/>
      <c r="G225" s="851" t="e">
        <f>+U218</f>
        <v>#N/A</v>
      </c>
      <c r="H225" s="852"/>
      <c r="I225" s="853" t="e">
        <f>[2]!NUM2TEXT(+G225)</f>
        <v>#NAME?</v>
      </c>
      <c r="J225" s="793"/>
      <c r="K225" s="793"/>
      <c r="L225" s="793"/>
      <c r="M225" s="793"/>
      <c r="N225" s="854"/>
      <c r="O225" s="855"/>
      <c r="P225" s="855"/>
      <c r="Q225" s="855"/>
      <c r="R225" s="855"/>
      <c r="S225" s="855"/>
      <c r="T225" s="855"/>
      <c r="U225" s="855"/>
      <c r="AJ225" s="3"/>
    </row>
    <row r="226" spans="2:36" ht="13.5" hidden="1" thickBot="1">
      <c r="B226" s="856" t="s">
        <v>62</v>
      </c>
      <c r="C226" s="857" t="s">
        <v>63</v>
      </c>
      <c r="D226" s="858" t="s">
        <v>49</v>
      </c>
      <c r="E226" s="859" t="s">
        <v>64</v>
      </c>
      <c r="F226" s="793"/>
      <c r="G226" s="793"/>
      <c r="H226" s="793"/>
      <c r="I226" s="793"/>
      <c r="J226" s="793"/>
      <c r="K226" s="793"/>
      <c r="L226" s="793"/>
      <c r="M226" s="793"/>
      <c r="N226" s="854"/>
      <c r="O226" s="855"/>
      <c r="P226" s="855"/>
      <c r="Q226" s="855"/>
      <c r="R226" s="855"/>
      <c r="S226" s="855"/>
      <c r="T226" s="855"/>
      <c r="U226" s="855"/>
      <c r="AJ226" s="3"/>
    </row>
    <row r="227" spans="2:36" ht="12.75" hidden="1">
      <c r="B227" s="860" t="e">
        <f>+U218</f>
        <v>#N/A</v>
      </c>
      <c r="C227" s="861">
        <v>0</v>
      </c>
      <c r="D227" s="862" t="e">
        <f>+B227-C227</f>
        <v>#N/A</v>
      </c>
      <c r="E227" s="863"/>
      <c r="F227" s="793"/>
      <c r="G227" s="793"/>
      <c r="H227" s="793"/>
      <c r="I227" s="793"/>
      <c r="J227" s="793"/>
      <c r="K227" s="793"/>
      <c r="L227" s="793"/>
      <c r="M227" s="793"/>
      <c r="N227" s="855"/>
      <c r="O227" s="855"/>
      <c r="P227" s="855"/>
      <c r="Q227" s="855"/>
      <c r="R227" s="855"/>
      <c r="S227" s="855"/>
      <c r="T227" s="855"/>
      <c r="U227" s="855"/>
      <c r="AJ227" s="3"/>
    </row>
    <row r="228" spans="2:36" ht="12.75" hidden="1">
      <c r="B228" s="864"/>
      <c r="C228" s="841"/>
      <c r="D228" s="865"/>
      <c r="E228" s="866"/>
      <c r="F228" s="793"/>
      <c r="G228" s="793"/>
      <c r="H228" s="793"/>
      <c r="I228" s="793"/>
      <c r="J228" s="793"/>
      <c r="K228" s="793"/>
      <c r="L228" s="793"/>
      <c r="M228" s="793"/>
      <c r="N228" s="867"/>
      <c r="O228" s="855"/>
      <c r="P228" s="855"/>
      <c r="Q228" s="855"/>
      <c r="R228" s="855"/>
      <c r="S228" s="855"/>
      <c r="T228" s="855"/>
      <c r="U228" s="855"/>
      <c r="AJ228" s="3"/>
    </row>
    <row r="229" spans="2:36" ht="12.75" hidden="1">
      <c r="B229" s="864"/>
      <c r="C229" s="841"/>
      <c r="D229" s="868"/>
      <c r="E229" s="866"/>
      <c r="F229" s="793"/>
      <c r="G229" s="869"/>
      <c r="H229" s="869"/>
      <c r="I229" s="869"/>
      <c r="J229" s="870"/>
      <c r="K229" s="870"/>
      <c r="L229" s="870"/>
      <c r="M229" s="870"/>
      <c r="N229" s="867"/>
      <c r="O229" s="870"/>
      <c r="P229" s="870"/>
      <c r="Q229" s="870"/>
      <c r="R229" s="855"/>
      <c r="S229" s="855"/>
      <c r="T229" s="855"/>
      <c r="U229" s="855"/>
      <c r="AJ229" s="3"/>
    </row>
    <row r="230" spans="2:36" ht="12.75" hidden="1">
      <c r="B230" s="864"/>
      <c r="C230" s="841"/>
      <c r="D230" s="868"/>
      <c r="E230" s="866"/>
      <c r="F230" s="793"/>
      <c r="G230" s="870"/>
      <c r="H230" s="870"/>
      <c r="I230" s="870"/>
      <c r="J230" s="870"/>
      <c r="K230" s="870"/>
      <c r="L230" s="855"/>
      <c r="M230" s="855"/>
      <c r="N230" s="867"/>
      <c r="O230" s="871"/>
      <c r="P230" s="870"/>
      <c r="Q230" s="870"/>
      <c r="R230" s="855"/>
      <c r="S230" s="855"/>
      <c r="T230" s="855"/>
      <c r="U230" s="855"/>
      <c r="AJ230" s="3"/>
    </row>
    <row r="231" spans="2:36" ht="13.5" hidden="1" thickBot="1">
      <c r="B231" s="872"/>
      <c r="C231" s="844"/>
      <c r="D231" s="873"/>
      <c r="E231" s="874"/>
      <c r="F231" s="793"/>
      <c r="G231" s="870"/>
      <c r="H231" s="870"/>
      <c r="I231" s="870"/>
      <c r="J231" s="870"/>
      <c r="K231" s="870"/>
      <c r="L231" s="855"/>
      <c r="M231" s="855"/>
      <c r="N231" s="870"/>
      <c r="O231" s="871"/>
      <c r="P231" s="870"/>
      <c r="Q231" s="870"/>
      <c r="R231" s="875"/>
      <c r="S231" s="875"/>
      <c r="T231" s="875"/>
      <c r="U231" s="855"/>
      <c r="AJ231" s="3"/>
    </row>
    <row r="232" spans="2:36" ht="13.5" hidden="1" thickBot="1">
      <c r="B232" s="856" t="e">
        <f>SUM(B227:B231)</f>
        <v>#N/A</v>
      </c>
      <c r="C232" s="856">
        <f>SUM(C227:C231)</f>
        <v>0</v>
      </c>
      <c r="D232" s="856" t="e">
        <f>SUM(D227:D231)</f>
        <v>#N/A</v>
      </c>
      <c r="E232" s="876"/>
      <c r="F232" s="793"/>
      <c r="G232" s="877"/>
      <c r="H232" s="877"/>
      <c r="I232" s="877"/>
      <c r="J232" s="877"/>
      <c r="K232" s="877"/>
      <c r="L232" s="877"/>
      <c r="M232" s="855"/>
      <c r="N232" s="870"/>
      <c r="O232" s="871"/>
      <c r="P232" s="870"/>
      <c r="Q232" s="870"/>
      <c r="R232" s="855"/>
      <c r="S232" s="855"/>
      <c r="T232" s="855"/>
      <c r="U232" s="855"/>
      <c r="AJ232" s="3"/>
    </row>
    <row r="233" spans="2:36" ht="12.75" hidden="1">
      <c r="B233" s="793"/>
      <c r="C233" s="793"/>
      <c r="D233" s="793"/>
      <c r="E233" s="793"/>
      <c r="F233" s="793"/>
      <c r="G233" s="870"/>
      <c r="H233" s="870"/>
      <c r="I233" s="870"/>
      <c r="J233" s="870"/>
      <c r="K233" s="870"/>
      <c r="L233" s="870"/>
      <c r="M233" s="855"/>
      <c r="N233" s="855"/>
      <c r="O233" s="871"/>
      <c r="P233" s="870"/>
      <c r="Q233" s="870"/>
      <c r="R233" s="875"/>
      <c r="S233" s="867"/>
      <c r="T233" s="875"/>
      <c r="U233" s="855"/>
      <c r="AJ233" s="1"/>
    </row>
    <row r="234" spans="2:21" ht="12.75" hidden="1">
      <c r="B234" s="793"/>
      <c r="C234" s="793"/>
      <c r="D234" s="793"/>
      <c r="E234" s="793"/>
      <c r="F234" s="793"/>
      <c r="G234" s="870"/>
      <c r="H234" s="870"/>
      <c r="I234" s="870"/>
      <c r="J234" s="870"/>
      <c r="K234" s="870"/>
      <c r="L234" s="870"/>
      <c r="M234" s="870"/>
      <c r="N234" s="870"/>
      <c r="O234" s="871"/>
      <c r="P234" s="870"/>
      <c r="Q234" s="870"/>
      <c r="R234" s="855"/>
      <c r="S234" s="855"/>
      <c r="T234" s="855"/>
      <c r="U234" s="855"/>
    </row>
    <row r="235" spans="2:21" ht="12.75" hidden="1">
      <c r="B235" s="793"/>
      <c r="C235" s="793"/>
      <c r="D235" s="793"/>
      <c r="E235" s="793"/>
      <c r="F235" s="793"/>
      <c r="G235" s="870"/>
      <c r="H235" s="870"/>
      <c r="I235" s="870"/>
      <c r="J235" s="870"/>
      <c r="K235" s="870"/>
      <c r="L235" s="870"/>
      <c r="M235" s="870"/>
      <c r="N235" s="870"/>
      <c r="O235" s="870"/>
      <c r="P235" s="870"/>
      <c r="Q235" s="870"/>
      <c r="R235" s="875"/>
      <c r="S235" s="875"/>
      <c r="T235" s="875"/>
      <c r="U235" s="855"/>
    </row>
    <row r="236" spans="2:21" ht="12.75" hidden="1">
      <c r="B236" s="793"/>
      <c r="C236" s="793"/>
      <c r="D236" s="793"/>
      <c r="E236" s="793"/>
      <c r="F236" s="793"/>
      <c r="G236" s="870"/>
      <c r="H236" s="870"/>
      <c r="I236" s="870"/>
      <c r="J236" s="870"/>
      <c r="K236" s="870"/>
      <c r="L236" s="870"/>
      <c r="M236" s="870"/>
      <c r="N236" s="870"/>
      <c r="O236" s="870"/>
      <c r="P236" s="870"/>
      <c r="Q236" s="870"/>
      <c r="R236" s="855"/>
      <c r="S236" s="855"/>
      <c r="T236" s="855"/>
      <c r="U236" s="855"/>
    </row>
    <row r="237" spans="2:21" ht="12.75" hidden="1">
      <c r="B237" s="793"/>
      <c r="C237" s="793"/>
      <c r="D237" s="793"/>
      <c r="E237" s="793"/>
      <c r="F237" s="793"/>
      <c r="G237" s="870"/>
      <c r="H237" s="870"/>
      <c r="I237" s="870"/>
      <c r="J237" s="870"/>
      <c r="K237" s="870"/>
      <c r="L237" s="870"/>
      <c r="M237" s="870"/>
      <c r="N237" s="878"/>
      <c r="O237" s="870"/>
      <c r="P237" s="855"/>
      <c r="Q237" s="855"/>
      <c r="R237" s="875"/>
      <c r="S237" s="875"/>
      <c r="T237" s="875"/>
      <c r="U237" s="855"/>
    </row>
    <row r="238" spans="2:21" ht="12.75" hidden="1">
      <c r="B238" s="793"/>
      <c r="C238" s="793"/>
      <c r="D238" s="793"/>
      <c r="E238" s="793"/>
      <c r="F238" s="793"/>
      <c r="G238" s="870"/>
      <c r="H238" s="870"/>
      <c r="I238" s="870"/>
      <c r="J238" s="870"/>
      <c r="K238" s="870"/>
      <c r="L238" s="870"/>
      <c r="M238" s="870"/>
      <c r="N238" s="870"/>
      <c r="O238" s="855"/>
      <c r="P238" s="870"/>
      <c r="Q238" s="855"/>
      <c r="R238" s="875"/>
      <c r="S238" s="855"/>
      <c r="T238" s="875"/>
      <c r="U238" s="855"/>
    </row>
    <row r="239" spans="2:21" ht="12.75" hidden="1">
      <c r="B239" s="793"/>
      <c r="C239" s="793"/>
      <c r="D239" s="793"/>
      <c r="E239" s="793"/>
      <c r="F239" s="793"/>
      <c r="G239" s="793"/>
      <c r="H239" s="793"/>
      <c r="I239" s="793"/>
      <c r="J239" s="793"/>
      <c r="K239" s="793"/>
      <c r="L239" s="793"/>
      <c r="M239" s="793"/>
      <c r="N239" s="855"/>
      <c r="O239" s="855"/>
      <c r="P239" s="855"/>
      <c r="Q239" s="855"/>
      <c r="R239" s="855"/>
      <c r="S239" s="855"/>
      <c r="T239" s="855"/>
      <c r="U239" s="855"/>
    </row>
    <row r="240" spans="2:21" ht="12.75" hidden="1">
      <c r="B240" s="793"/>
      <c r="C240" s="793"/>
      <c r="D240" s="793"/>
      <c r="E240" s="793"/>
      <c r="F240" s="793"/>
      <c r="G240" s="793"/>
      <c r="H240" s="793"/>
      <c r="I240" s="793"/>
      <c r="J240" s="793"/>
      <c r="K240" s="793"/>
      <c r="L240" s="793"/>
      <c r="M240" s="793"/>
      <c r="N240" s="855"/>
      <c r="O240" s="855"/>
      <c r="P240" s="855"/>
      <c r="Q240" s="855"/>
      <c r="R240" s="855"/>
      <c r="S240" s="875"/>
      <c r="T240" s="875"/>
      <c r="U240" s="855"/>
    </row>
    <row r="241" spans="2:21" ht="12.75" hidden="1">
      <c r="B241" s="793"/>
      <c r="C241" s="793"/>
      <c r="D241" s="793"/>
      <c r="E241" s="793"/>
      <c r="F241" s="793"/>
      <c r="G241" s="793"/>
      <c r="H241" s="793"/>
      <c r="I241" s="793"/>
      <c r="J241" s="793"/>
      <c r="K241" s="793"/>
      <c r="L241" s="793"/>
      <c r="M241" s="793"/>
      <c r="N241" s="855"/>
      <c r="O241" s="855"/>
      <c r="P241" s="855"/>
      <c r="Q241" s="855"/>
      <c r="R241" s="855"/>
      <c r="S241" s="855"/>
      <c r="T241" s="875"/>
      <c r="U241" s="855"/>
    </row>
    <row r="242" spans="2:21" ht="12.75" hidden="1">
      <c r="B242" s="793"/>
      <c r="C242" s="793"/>
      <c r="D242" s="793"/>
      <c r="E242" s="793"/>
      <c r="F242" s="793"/>
      <c r="G242" s="793"/>
      <c r="H242" s="793"/>
      <c r="I242" s="793"/>
      <c r="J242" s="793"/>
      <c r="K242" s="793"/>
      <c r="L242" s="793"/>
      <c r="M242" s="793"/>
      <c r="N242" s="855"/>
      <c r="O242" s="855"/>
      <c r="P242" s="855"/>
      <c r="Q242" s="855"/>
      <c r="R242" s="855"/>
      <c r="S242" s="855"/>
      <c r="T242" s="855"/>
      <c r="U242" s="855"/>
    </row>
    <row r="243" spans="2:21" ht="12.75" hidden="1">
      <c r="B243" s="793"/>
      <c r="C243" s="793"/>
      <c r="D243" s="793"/>
      <c r="E243" s="793"/>
      <c r="F243" s="793"/>
      <c r="G243" s="793"/>
      <c r="H243" s="793"/>
      <c r="I243" s="793"/>
      <c r="J243" s="793"/>
      <c r="K243" s="793"/>
      <c r="L243" s="793"/>
      <c r="M243" s="793"/>
      <c r="N243" s="793"/>
      <c r="O243" s="793"/>
      <c r="P243" s="793"/>
      <c r="Q243" s="793"/>
      <c r="R243" s="793"/>
      <c r="S243" s="793"/>
      <c r="T243" s="793"/>
      <c r="U243" s="793"/>
    </row>
    <row r="244" spans="2:21" ht="12.75" hidden="1">
      <c r="B244" s="793"/>
      <c r="C244" s="793"/>
      <c r="D244" s="793"/>
      <c r="E244" s="793"/>
      <c r="F244" s="793"/>
      <c r="G244" s="793"/>
      <c r="H244" s="793"/>
      <c r="I244" s="793"/>
      <c r="J244" s="793"/>
      <c r="K244" s="793"/>
      <c r="L244" s="793"/>
      <c r="M244" s="793"/>
      <c r="N244" s="793"/>
      <c r="O244" s="793"/>
      <c r="P244" s="793"/>
      <c r="Q244" s="793"/>
      <c r="R244" s="793"/>
      <c r="S244" s="793"/>
      <c r="T244" s="793"/>
      <c r="U244" s="793"/>
    </row>
    <row r="245" spans="2:21" ht="12.75" hidden="1">
      <c r="B245" s="793"/>
      <c r="C245" s="793"/>
      <c r="D245" s="793"/>
      <c r="E245" s="793"/>
      <c r="F245" s="793"/>
      <c r="G245" s="793"/>
      <c r="H245" s="793"/>
      <c r="I245" s="793"/>
      <c r="J245" s="793"/>
      <c r="K245" s="793"/>
      <c r="L245" s="793"/>
      <c r="M245" s="793"/>
      <c r="N245" s="793"/>
      <c r="O245" s="793"/>
      <c r="P245" s="793"/>
      <c r="Q245" s="793"/>
      <c r="R245" s="793"/>
      <c r="S245" s="793"/>
      <c r="T245" s="793"/>
      <c r="U245" s="793"/>
    </row>
    <row r="246" spans="2:21" ht="12.75" hidden="1">
      <c r="B246" s="793"/>
      <c r="C246" s="793"/>
      <c r="D246" s="793"/>
      <c r="E246" s="879"/>
      <c r="F246" s="880"/>
      <c r="G246" s="880"/>
      <c r="H246" s="880"/>
      <c r="I246" s="880"/>
      <c r="J246" s="880"/>
      <c r="K246" s="880"/>
      <c r="L246" s="880"/>
      <c r="M246" s="880"/>
      <c r="N246" s="880"/>
      <c r="O246" s="880"/>
      <c r="P246" s="880"/>
      <c r="Q246" s="880"/>
      <c r="R246" s="881"/>
      <c r="S246" s="793"/>
      <c r="T246" s="793"/>
      <c r="U246" s="793"/>
    </row>
    <row r="247" spans="2:21" ht="12.75" hidden="1">
      <c r="B247" s="793"/>
      <c r="C247" s="793"/>
      <c r="D247" s="793"/>
      <c r="E247" s="882"/>
      <c r="F247" s="883"/>
      <c r="G247" s="883"/>
      <c r="H247" s="883"/>
      <c r="I247" s="883"/>
      <c r="J247" s="883"/>
      <c r="K247" s="883"/>
      <c r="L247" s="883"/>
      <c r="M247" s="883"/>
      <c r="N247" s="883"/>
      <c r="O247" s="883"/>
      <c r="P247" s="883"/>
      <c r="Q247" s="883"/>
      <c r="R247" s="884"/>
      <c r="S247" s="793"/>
      <c r="T247" s="793"/>
      <c r="U247" s="793"/>
    </row>
    <row r="248" spans="2:21" ht="12.75" hidden="1">
      <c r="B248" s="793"/>
      <c r="C248" s="793"/>
      <c r="D248" s="793"/>
      <c r="E248" s="882"/>
      <c r="F248" s="883"/>
      <c r="G248" s="883"/>
      <c r="H248" s="883"/>
      <c r="I248" s="883"/>
      <c r="J248" s="883"/>
      <c r="K248" s="883"/>
      <c r="L248" s="883"/>
      <c r="M248" s="883"/>
      <c r="N248" s="883"/>
      <c r="O248" s="883"/>
      <c r="P248" s="883"/>
      <c r="Q248" s="883"/>
      <c r="R248" s="884"/>
      <c r="S248" s="793"/>
      <c r="T248" s="793"/>
      <c r="U248" s="793"/>
    </row>
    <row r="249" spans="2:21" ht="12.75" hidden="1">
      <c r="B249" s="793"/>
      <c r="C249" s="793"/>
      <c r="D249" s="793"/>
      <c r="E249" s="882"/>
      <c r="F249" s="1433" t="s">
        <v>401</v>
      </c>
      <c r="G249" s="1433"/>
      <c r="H249" s="1433"/>
      <c r="I249" s="1433"/>
      <c r="J249" s="1433"/>
      <c r="K249" s="1433"/>
      <c r="L249" s="1433"/>
      <c r="M249" s="1433"/>
      <c r="N249" s="1433"/>
      <c r="O249" s="1433"/>
      <c r="P249" s="1433"/>
      <c r="Q249" s="1433"/>
      <c r="R249" s="884"/>
      <c r="S249" s="793"/>
      <c r="T249" s="793"/>
      <c r="U249" s="793"/>
    </row>
    <row r="250" spans="2:21" ht="12.75" hidden="1">
      <c r="B250" s="793"/>
      <c r="C250" s="793"/>
      <c r="D250" s="793"/>
      <c r="E250" s="882"/>
      <c r="F250" s="883"/>
      <c r="G250" s="886"/>
      <c r="H250" s="886"/>
      <c r="I250" s="886"/>
      <c r="J250" s="887"/>
      <c r="K250" s="887"/>
      <c r="L250" s="887"/>
      <c r="M250" s="887"/>
      <c r="N250" s="888"/>
      <c r="O250" s="887"/>
      <c r="P250" s="887"/>
      <c r="Q250" s="883"/>
      <c r="R250" s="889"/>
      <c r="S250" s="855"/>
      <c r="T250" s="793"/>
      <c r="U250" s="793"/>
    </row>
    <row r="251" spans="2:21" ht="12.75" hidden="1">
      <c r="B251" s="793"/>
      <c r="C251" s="793"/>
      <c r="D251" s="793"/>
      <c r="E251" s="882"/>
      <c r="F251" s="883"/>
      <c r="G251" s="890" t="s">
        <v>85</v>
      </c>
      <c r="H251" s="883"/>
      <c r="I251" s="883" t="s">
        <v>86</v>
      </c>
      <c r="J251" s="883"/>
      <c r="K251" s="883"/>
      <c r="L251" s="891" t="s">
        <v>37</v>
      </c>
      <c r="M251" s="883"/>
      <c r="N251" s="892">
        <f>+H23</f>
        <v>181040</v>
      </c>
      <c r="O251" s="883"/>
      <c r="P251" s="883"/>
      <c r="Q251" s="883"/>
      <c r="R251" s="884"/>
      <c r="S251" s="793"/>
      <c r="T251" s="793"/>
      <c r="U251" s="793"/>
    </row>
    <row r="252" spans="2:21" ht="12.75" hidden="1">
      <c r="B252" s="793"/>
      <c r="C252" s="793"/>
      <c r="D252" s="793"/>
      <c r="E252" s="882"/>
      <c r="F252" s="883"/>
      <c r="G252" s="883" t="s">
        <v>87</v>
      </c>
      <c r="H252" s="883"/>
      <c r="I252" s="883" t="s">
        <v>86</v>
      </c>
      <c r="J252" s="883"/>
      <c r="K252" s="883"/>
      <c r="L252" s="891" t="s">
        <v>37</v>
      </c>
      <c r="M252" s="883"/>
      <c r="N252" s="892">
        <f>+I23</f>
        <v>26400</v>
      </c>
      <c r="O252" s="883"/>
      <c r="P252" s="883"/>
      <c r="Q252" s="883"/>
      <c r="R252" s="884"/>
      <c r="S252" s="793"/>
      <c r="T252" s="793"/>
      <c r="U252" s="793"/>
    </row>
    <row r="253" spans="2:21" ht="12.75" hidden="1">
      <c r="B253" s="793"/>
      <c r="C253" s="793"/>
      <c r="D253" s="793"/>
      <c r="E253" s="882"/>
      <c r="F253" s="883"/>
      <c r="G253" s="890" t="s">
        <v>66</v>
      </c>
      <c r="H253" s="883"/>
      <c r="I253" s="883" t="s">
        <v>86</v>
      </c>
      <c r="J253" s="883"/>
      <c r="K253" s="883"/>
      <c r="L253" s="891" t="s">
        <v>37</v>
      </c>
      <c r="M253" s="883"/>
      <c r="N253" s="892">
        <f>+J23</f>
        <v>280742</v>
      </c>
      <c r="O253" s="883"/>
      <c r="P253" s="883"/>
      <c r="Q253" s="883"/>
      <c r="R253" s="884"/>
      <c r="S253" s="793"/>
      <c r="T253" s="793"/>
      <c r="U253" s="793"/>
    </row>
    <row r="254" spans="2:21" ht="12.75" hidden="1">
      <c r="B254" s="793"/>
      <c r="C254" s="793"/>
      <c r="D254" s="793"/>
      <c r="E254" s="882"/>
      <c r="F254" s="883"/>
      <c r="G254" s="890" t="s">
        <v>88</v>
      </c>
      <c r="H254" s="883"/>
      <c r="I254" s="883" t="s">
        <v>86</v>
      </c>
      <c r="J254" s="883"/>
      <c r="K254" s="883"/>
      <c r="L254" s="891" t="s">
        <v>37</v>
      </c>
      <c r="M254" s="883"/>
      <c r="N254" s="892">
        <f>+K23</f>
        <v>24400</v>
      </c>
      <c r="O254" s="883"/>
      <c r="P254" s="883"/>
      <c r="Q254" s="883"/>
      <c r="R254" s="884"/>
      <c r="S254" s="793"/>
      <c r="T254" s="793"/>
      <c r="U254" s="793"/>
    </row>
    <row r="255" spans="2:21" ht="12.75" hidden="1">
      <c r="B255" s="793"/>
      <c r="C255" s="793"/>
      <c r="D255" s="793"/>
      <c r="E255" s="882"/>
      <c r="F255" s="883"/>
      <c r="G255" s="890" t="s">
        <v>89</v>
      </c>
      <c r="H255" s="883"/>
      <c r="I255" s="883" t="s">
        <v>86</v>
      </c>
      <c r="J255" s="883"/>
      <c r="K255" s="883"/>
      <c r="L255" s="891" t="s">
        <v>37</v>
      </c>
      <c r="M255" s="883"/>
      <c r="N255" s="892">
        <f>+L23</f>
        <v>7200</v>
      </c>
      <c r="O255" s="883"/>
      <c r="P255" s="883"/>
      <c r="Q255" s="883"/>
      <c r="R255" s="884"/>
      <c r="S255" s="793"/>
      <c r="T255" s="793"/>
      <c r="U255" s="793"/>
    </row>
    <row r="256" spans="2:21" ht="13.5" hidden="1" thickBot="1">
      <c r="B256" s="793"/>
      <c r="C256" s="793"/>
      <c r="D256" s="793"/>
      <c r="E256" s="882"/>
      <c r="F256" s="883"/>
      <c r="G256" s="890" t="s">
        <v>90</v>
      </c>
      <c r="H256" s="883"/>
      <c r="I256" s="883" t="s">
        <v>86</v>
      </c>
      <c r="J256" s="883"/>
      <c r="K256" s="883"/>
      <c r="L256" s="891" t="s">
        <v>37</v>
      </c>
      <c r="M256" s="883"/>
      <c r="N256" s="893" t="e">
        <f>SUM(N24:N28)+N21+N22</f>
        <v>#N/A</v>
      </c>
      <c r="O256" s="883"/>
      <c r="P256" s="883"/>
      <c r="Q256" s="883"/>
      <c r="R256" s="884"/>
      <c r="S256" s="793"/>
      <c r="T256" s="793"/>
      <c r="U256" s="793"/>
    </row>
    <row r="257" spans="2:21" ht="13.5" hidden="1" thickBot="1">
      <c r="B257" s="793"/>
      <c r="C257" s="793"/>
      <c r="D257" s="793"/>
      <c r="E257" s="882"/>
      <c r="F257" s="883"/>
      <c r="G257" s="883"/>
      <c r="H257" s="883"/>
      <c r="I257" s="883"/>
      <c r="J257" s="883"/>
      <c r="K257" s="883"/>
      <c r="L257" s="883"/>
      <c r="M257" s="883"/>
      <c r="N257" s="894" t="e">
        <f>SUM(N251:N256)</f>
        <v>#N/A</v>
      </c>
      <c r="O257" s="895">
        <f>+N194</f>
        <v>0</v>
      </c>
      <c r="P257" s="883"/>
      <c r="Q257" s="883"/>
      <c r="R257" s="884"/>
      <c r="S257" s="793"/>
      <c r="T257" s="793"/>
      <c r="U257" s="793"/>
    </row>
    <row r="258" spans="2:21" ht="12.75" hidden="1">
      <c r="B258" s="793"/>
      <c r="C258" s="793"/>
      <c r="D258" s="793"/>
      <c r="E258" s="896" t="s">
        <v>91</v>
      </c>
      <c r="F258" s="883" t="s">
        <v>92</v>
      </c>
      <c r="G258" s="883"/>
      <c r="H258" s="883"/>
      <c r="I258" s="855"/>
      <c r="J258" s="883"/>
      <c r="K258" s="883"/>
      <c r="L258" s="891" t="s">
        <v>37</v>
      </c>
      <c r="M258" s="883"/>
      <c r="N258" s="888">
        <f>ROUND(S258*12,0)</f>
        <v>118800</v>
      </c>
      <c r="O258" s="897"/>
      <c r="P258" s="887"/>
      <c r="Q258" s="883"/>
      <c r="R258" s="889"/>
      <c r="S258" s="898">
        <f>ROUND((ROUND((N1095+N263+94000)/12,0))/100,0)*100</f>
        <v>9900</v>
      </c>
      <c r="T258" s="793"/>
      <c r="U258" s="793"/>
    </row>
    <row r="259" spans="2:21" ht="12.75" hidden="1">
      <c r="B259" s="793"/>
      <c r="C259" s="793"/>
      <c r="D259" s="793"/>
      <c r="E259" s="896" t="s">
        <v>93</v>
      </c>
      <c r="F259" s="883" t="s">
        <v>94</v>
      </c>
      <c r="G259" s="883"/>
      <c r="H259" s="883"/>
      <c r="I259" s="855"/>
      <c r="J259" s="883"/>
      <c r="K259" s="883"/>
      <c r="L259" s="891" t="s">
        <v>37</v>
      </c>
      <c r="M259" s="883"/>
      <c r="N259" s="888">
        <f>+N251+N252+N253</f>
        <v>488182</v>
      </c>
      <c r="O259" s="897"/>
      <c r="P259" s="887"/>
      <c r="Q259" s="883"/>
      <c r="R259" s="889"/>
      <c r="S259" s="855"/>
      <c r="T259" s="793"/>
      <c r="U259" s="793"/>
    </row>
    <row r="260" spans="2:21" ht="12.75" hidden="1">
      <c r="B260" s="793"/>
      <c r="C260" s="793"/>
      <c r="D260" s="793"/>
      <c r="E260" s="896" t="s">
        <v>95</v>
      </c>
      <c r="F260" s="883" t="s">
        <v>96</v>
      </c>
      <c r="G260" s="883"/>
      <c r="H260" s="883"/>
      <c r="I260" s="855"/>
      <c r="J260" s="883"/>
      <c r="K260" s="883"/>
      <c r="L260" s="891" t="s">
        <v>37</v>
      </c>
      <c r="M260" s="887"/>
      <c r="N260" s="899">
        <f>ROUND(N259*0.1,0)</f>
        <v>48818</v>
      </c>
      <c r="O260" s="897"/>
      <c r="P260" s="887"/>
      <c r="Q260" s="883"/>
      <c r="R260" s="889"/>
      <c r="S260" s="855"/>
      <c r="T260" s="793"/>
      <c r="U260" s="793"/>
    </row>
    <row r="261" spans="2:21" ht="12.75" hidden="1">
      <c r="B261" s="793"/>
      <c r="C261" s="793"/>
      <c r="D261" s="793"/>
      <c r="E261" s="900" t="s">
        <v>99</v>
      </c>
      <c r="F261" s="883"/>
      <c r="G261" s="855"/>
      <c r="H261" s="883"/>
      <c r="I261" s="883"/>
      <c r="J261" s="883"/>
      <c r="K261" s="901" t="s">
        <v>97</v>
      </c>
      <c r="L261" s="891" t="s">
        <v>37</v>
      </c>
      <c r="M261" s="887"/>
      <c r="N261" s="888">
        <f>+N258-N260</f>
        <v>69982</v>
      </c>
      <c r="O261" s="887"/>
      <c r="P261" s="887"/>
      <c r="Q261" s="883"/>
      <c r="R261" s="889"/>
      <c r="S261" s="855"/>
      <c r="T261" s="793"/>
      <c r="U261" s="793"/>
    </row>
    <row r="262" spans="2:21" ht="12.75" hidden="1">
      <c r="B262" s="793"/>
      <c r="C262" s="793"/>
      <c r="D262" s="793"/>
      <c r="E262" s="900"/>
      <c r="F262" s="883"/>
      <c r="G262" s="855"/>
      <c r="H262" s="883"/>
      <c r="I262" s="883"/>
      <c r="J262" s="883"/>
      <c r="K262" s="883"/>
      <c r="L262" s="891"/>
      <c r="M262" s="887"/>
      <c r="N262" s="902"/>
      <c r="O262" s="887"/>
      <c r="P262" s="883"/>
      <c r="Q262" s="883"/>
      <c r="R262" s="884"/>
      <c r="S262" s="875"/>
      <c r="T262" s="793"/>
      <c r="U262" s="793"/>
    </row>
    <row r="263" spans="2:21" ht="12.75" hidden="1">
      <c r="B263" s="793"/>
      <c r="C263" s="793"/>
      <c r="D263" s="793"/>
      <c r="E263" s="900" t="s">
        <v>100</v>
      </c>
      <c r="F263" s="883"/>
      <c r="G263" s="855"/>
      <c r="H263" s="883"/>
      <c r="I263" s="883"/>
      <c r="J263" s="883"/>
      <c r="K263" s="883"/>
      <c r="L263" s="891" t="s">
        <v>37</v>
      </c>
      <c r="M263" s="883"/>
      <c r="N263" s="899">
        <f>+N254</f>
        <v>24400</v>
      </c>
      <c r="O263" s="883"/>
      <c r="P263" s="883"/>
      <c r="Q263" s="883"/>
      <c r="R263" s="884"/>
      <c r="S263" s="855"/>
      <c r="T263" s="793"/>
      <c r="U263" s="793"/>
    </row>
    <row r="264" spans="2:21" ht="12.75" hidden="1">
      <c r="B264" s="793"/>
      <c r="C264" s="793"/>
      <c r="D264" s="793"/>
      <c r="E264" s="900"/>
      <c r="F264" s="883"/>
      <c r="G264" s="855"/>
      <c r="H264" s="883"/>
      <c r="I264" s="883"/>
      <c r="J264" s="883"/>
      <c r="K264" s="883"/>
      <c r="L264" s="891"/>
      <c r="M264" s="883"/>
      <c r="N264" s="888"/>
      <c r="O264" s="883"/>
      <c r="P264" s="883"/>
      <c r="Q264" s="883"/>
      <c r="R264" s="884"/>
      <c r="S264" s="875"/>
      <c r="T264" s="793"/>
      <c r="U264" s="793"/>
    </row>
    <row r="265" spans="2:21" ht="12.75" hidden="1">
      <c r="B265" s="793"/>
      <c r="C265" s="793"/>
      <c r="D265" s="793"/>
      <c r="E265" s="900" t="s">
        <v>101</v>
      </c>
      <c r="F265" s="883"/>
      <c r="G265" s="855"/>
      <c r="H265" s="883"/>
      <c r="I265" s="883"/>
      <c r="J265" s="883"/>
      <c r="K265" s="883"/>
      <c r="L265" s="891" t="s">
        <v>37</v>
      </c>
      <c r="M265" s="883"/>
      <c r="N265" s="888">
        <f>ROUND(N259*0.5,0)</f>
        <v>244091</v>
      </c>
      <c r="O265" s="883"/>
      <c r="P265" s="883"/>
      <c r="Q265" s="883"/>
      <c r="R265" s="884"/>
      <c r="S265" s="855"/>
      <c r="T265" s="793"/>
      <c r="U265" s="793"/>
    </row>
    <row r="266" spans="2:21" ht="12.75" hidden="1">
      <c r="B266" s="793"/>
      <c r="C266" s="793"/>
      <c r="D266" s="793"/>
      <c r="E266" s="900"/>
      <c r="F266" s="883"/>
      <c r="G266" s="855"/>
      <c r="H266" s="883"/>
      <c r="I266" s="883"/>
      <c r="J266" s="883"/>
      <c r="K266" s="883"/>
      <c r="L266" s="891" t="s">
        <v>37</v>
      </c>
      <c r="M266" s="883"/>
      <c r="N266" s="888"/>
      <c r="O266" s="883"/>
      <c r="P266" s="883"/>
      <c r="Q266" s="883"/>
      <c r="R266" s="884"/>
      <c r="S266" s="793"/>
      <c r="T266" s="793"/>
      <c r="U266" s="793"/>
    </row>
    <row r="267" spans="2:21" ht="12.75" hidden="1">
      <c r="B267" s="793"/>
      <c r="C267" s="793"/>
      <c r="D267" s="793"/>
      <c r="E267" s="903" t="s">
        <v>102</v>
      </c>
      <c r="F267" s="883"/>
      <c r="G267" s="855"/>
      <c r="H267" s="883"/>
      <c r="I267" s="883"/>
      <c r="J267" s="883"/>
      <c r="K267" s="883"/>
      <c r="L267" s="891" t="s">
        <v>37</v>
      </c>
      <c r="M267" s="883"/>
      <c r="N267" s="899">
        <f>MIN(N261,N263,N265)</f>
        <v>24400</v>
      </c>
      <c r="O267" s="883"/>
      <c r="P267" s="883"/>
      <c r="Q267" s="883"/>
      <c r="R267" s="884"/>
      <c r="S267" s="793"/>
      <c r="T267" s="793"/>
      <c r="U267" s="793"/>
    </row>
    <row r="268" spans="2:21" ht="12.75" hidden="1">
      <c r="B268" s="793"/>
      <c r="C268" s="793"/>
      <c r="D268" s="793"/>
      <c r="E268" s="903"/>
      <c r="F268" s="883"/>
      <c r="G268" s="855"/>
      <c r="H268" s="883"/>
      <c r="I268" s="883"/>
      <c r="J268" s="883"/>
      <c r="K268" s="883"/>
      <c r="L268" s="855"/>
      <c r="M268" s="883"/>
      <c r="N268" s="855"/>
      <c r="O268" s="883"/>
      <c r="P268" s="883"/>
      <c r="Q268" s="883"/>
      <c r="R268" s="884"/>
      <c r="S268" s="793"/>
      <c r="T268" s="793"/>
      <c r="U268" s="793"/>
    </row>
    <row r="269" spans="2:21" ht="12.75" hidden="1">
      <c r="B269" s="793"/>
      <c r="C269" s="793"/>
      <c r="D269" s="793"/>
      <c r="E269" s="904" t="s">
        <v>98</v>
      </c>
      <c r="F269" s="883"/>
      <c r="G269" s="855"/>
      <c r="H269" s="887"/>
      <c r="I269" s="887"/>
      <c r="J269" s="887"/>
      <c r="K269" s="887"/>
      <c r="L269" s="891" t="s">
        <v>37</v>
      </c>
      <c r="M269" s="887"/>
      <c r="N269" s="885" t="str">
        <f>B11</f>
        <v>N</v>
      </c>
      <c r="O269" s="887"/>
      <c r="P269" s="887"/>
      <c r="Q269" s="883"/>
      <c r="R269" s="884"/>
      <c r="S269" s="793"/>
      <c r="T269" s="793"/>
      <c r="U269" s="793"/>
    </row>
    <row r="270" spans="2:21" ht="12.75" hidden="1">
      <c r="B270" s="793"/>
      <c r="C270" s="793"/>
      <c r="D270" s="793"/>
      <c r="E270" s="905" t="s">
        <v>233</v>
      </c>
      <c r="F270" s="883"/>
      <c r="G270" s="855"/>
      <c r="H270" s="887"/>
      <c r="I270" s="887"/>
      <c r="J270" s="887"/>
      <c r="K270" s="887"/>
      <c r="L270" s="887"/>
      <c r="M270" s="887"/>
      <c r="N270" s="887"/>
      <c r="O270" s="887"/>
      <c r="P270" s="887"/>
      <c r="Q270" s="883"/>
      <c r="R270" s="884"/>
      <c r="S270" s="793"/>
      <c r="T270" s="793"/>
      <c r="U270" s="793"/>
    </row>
    <row r="271" spans="2:21" ht="12.75" hidden="1">
      <c r="B271" s="793"/>
      <c r="C271" s="793"/>
      <c r="D271" s="793"/>
      <c r="E271" s="1434" t="s">
        <v>238</v>
      </c>
      <c r="F271" s="1435"/>
      <c r="G271" s="1435"/>
      <c r="H271" s="1435"/>
      <c r="I271" s="1435"/>
      <c r="J271" s="1435"/>
      <c r="K271" s="1435"/>
      <c r="L271" s="1435"/>
      <c r="M271" s="1435"/>
      <c r="N271" s="1435"/>
      <c r="O271" s="1435"/>
      <c r="P271" s="1435"/>
      <c r="Q271" s="1435"/>
      <c r="R271" s="884"/>
      <c r="S271" s="793"/>
      <c r="T271" s="793"/>
      <c r="U271" s="793"/>
    </row>
    <row r="272" spans="2:21" ht="12.75" hidden="1">
      <c r="B272" s="793"/>
      <c r="C272" s="793"/>
      <c r="D272" s="793"/>
      <c r="E272" s="1434"/>
      <c r="F272" s="1435"/>
      <c r="G272" s="1435"/>
      <c r="H272" s="1435"/>
      <c r="I272" s="1435"/>
      <c r="J272" s="1435"/>
      <c r="K272" s="1435"/>
      <c r="L272" s="1435"/>
      <c r="M272" s="1435"/>
      <c r="N272" s="1435"/>
      <c r="O272" s="1435"/>
      <c r="P272" s="1435"/>
      <c r="Q272" s="1435"/>
      <c r="R272" s="884"/>
      <c r="S272" s="793"/>
      <c r="T272" s="793"/>
      <c r="U272" s="793"/>
    </row>
    <row r="273" spans="2:21" ht="12.75" hidden="1">
      <c r="B273" s="793"/>
      <c r="C273" s="793"/>
      <c r="D273" s="793"/>
      <c r="E273" s="904"/>
      <c r="F273" s="883"/>
      <c r="G273" s="855"/>
      <c r="H273" s="887"/>
      <c r="I273" s="887"/>
      <c r="J273" s="887"/>
      <c r="K273" s="887"/>
      <c r="L273" s="887"/>
      <c r="M273" s="887"/>
      <c r="N273" s="887"/>
      <c r="O273" s="887"/>
      <c r="P273" s="887"/>
      <c r="Q273" s="883"/>
      <c r="R273" s="884"/>
      <c r="S273" s="793"/>
      <c r="T273" s="793"/>
      <c r="U273" s="793"/>
    </row>
    <row r="274" spans="2:21" ht="12.75" hidden="1">
      <c r="B274" s="793"/>
      <c r="C274" s="793"/>
      <c r="D274" s="793"/>
      <c r="E274" s="882"/>
      <c r="F274" s="906">
        <v>1</v>
      </c>
      <c r="G274" s="907" t="str">
        <f>+H198</f>
        <v>INTEREST ON H.B.A.</v>
      </c>
      <c r="H274" s="907"/>
      <c r="I274" s="907"/>
      <c r="J274" s="907"/>
      <c r="K274" s="907"/>
      <c r="L274" s="908"/>
      <c r="M274" s="633" t="s">
        <v>37</v>
      </c>
      <c r="N274" s="909">
        <f>+N198</f>
        <v>0</v>
      </c>
      <c r="O274" s="1436"/>
      <c r="P274" s="1437"/>
      <c r="Q274" s="1438"/>
      <c r="R274" s="884"/>
      <c r="S274" s="793"/>
      <c r="T274" s="793"/>
      <c r="U274" s="793"/>
    </row>
    <row r="275" spans="2:21" ht="12.75" hidden="1">
      <c r="B275" s="793"/>
      <c r="C275" s="793"/>
      <c r="D275" s="793"/>
      <c r="E275" s="882"/>
      <c r="F275" s="910">
        <v>2</v>
      </c>
      <c r="G275" s="883" t="str">
        <f>+H200</f>
        <v>80-D MEDICIAL INSURANCE</v>
      </c>
      <c r="H275" s="883"/>
      <c r="I275" s="883"/>
      <c r="J275" s="883"/>
      <c r="K275" s="883"/>
      <c r="L275" s="887"/>
      <c r="M275" s="911" t="s">
        <v>37</v>
      </c>
      <c r="N275" s="912">
        <f>+N200</f>
        <v>0</v>
      </c>
      <c r="O275" s="1439"/>
      <c r="P275" s="1383"/>
      <c r="Q275" s="1440"/>
      <c r="R275" s="884"/>
      <c r="S275" s="793"/>
      <c r="T275" s="793"/>
      <c r="U275" s="793"/>
    </row>
    <row r="276" spans="2:21" ht="13.5" hidden="1" thickBot="1">
      <c r="B276" s="793"/>
      <c r="C276" s="793"/>
      <c r="D276" s="793"/>
      <c r="E276" s="882"/>
      <c r="F276" s="913">
        <v>3</v>
      </c>
      <c r="G276" s="914" t="str">
        <f>+H203</f>
        <v>TECH.EDUCATION INTEREST</v>
      </c>
      <c r="H276" s="914"/>
      <c r="I276" s="914"/>
      <c r="J276" s="914"/>
      <c r="K276" s="914"/>
      <c r="L276" s="915"/>
      <c r="M276" s="636" t="s">
        <v>37</v>
      </c>
      <c r="N276" s="916">
        <f>+N203</f>
        <v>0</v>
      </c>
      <c r="O276" s="1426">
        <f>+N274+N275+N276</f>
        <v>0</v>
      </c>
      <c r="P276" s="1427"/>
      <c r="Q276" s="1428"/>
      <c r="R276" s="884"/>
      <c r="S276" s="793"/>
      <c r="T276" s="793"/>
      <c r="U276" s="793"/>
    </row>
    <row r="277" spans="2:21" ht="12.75" hidden="1">
      <c r="B277" s="793"/>
      <c r="C277" s="793"/>
      <c r="D277" s="793"/>
      <c r="E277" s="882"/>
      <c r="F277" s="917">
        <v>1</v>
      </c>
      <c r="G277" s="907" t="str">
        <f aca="true" t="shared" si="29" ref="G277:G282">+Q196</f>
        <v>PPF Subscription</v>
      </c>
      <c r="H277" s="907"/>
      <c r="I277" s="907"/>
      <c r="J277" s="907"/>
      <c r="K277" s="907"/>
      <c r="L277" s="908"/>
      <c r="M277" s="633" t="s">
        <v>37</v>
      </c>
      <c r="N277" s="909">
        <f aca="true" t="shared" si="30" ref="N277:N282">+U196</f>
        <v>0</v>
      </c>
      <c r="O277" s="907"/>
      <c r="P277" s="907"/>
      <c r="Q277" s="918"/>
      <c r="R277" s="884"/>
      <c r="S277" s="793"/>
      <c r="T277" s="793"/>
      <c r="U277" s="793"/>
    </row>
    <row r="278" spans="2:21" ht="12.75" hidden="1">
      <c r="B278" s="793"/>
      <c r="C278" s="793"/>
      <c r="D278" s="793"/>
      <c r="E278" s="882"/>
      <c r="F278" s="919">
        <v>2</v>
      </c>
      <c r="G278" s="920" t="str">
        <f t="shared" si="29"/>
        <v>PLI Subscription</v>
      </c>
      <c r="H278" s="920"/>
      <c r="I278" s="920"/>
      <c r="J278" s="920"/>
      <c r="K278" s="920"/>
      <c r="L278" s="921"/>
      <c r="M278" s="816" t="s">
        <v>37</v>
      </c>
      <c r="N278" s="922">
        <f t="shared" si="30"/>
        <v>0</v>
      </c>
      <c r="O278" s="920"/>
      <c r="P278" s="920"/>
      <c r="Q278" s="923"/>
      <c r="R278" s="884"/>
      <c r="S278" s="793"/>
      <c r="T278" s="793"/>
      <c r="U278" s="793"/>
    </row>
    <row r="279" spans="2:21" ht="12.75" hidden="1">
      <c r="B279" s="793"/>
      <c r="C279" s="793"/>
      <c r="D279" s="793"/>
      <c r="E279" s="882"/>
      <c r="F279" s="919">
        <v>3</v>
      </c>
      <c r="G279" s="920" t="str">
        <f t="shared" si="29"/>
        <v>LIC Subscription</v>
      </c>
      <c r="H279" s="920"/>
      <c r="I279" s="920"/>
      <c r="J279" s="920"/>
      <c r="K279" s="920"/>
      <c r="L279" s="921"/>
      <c r="M279" s="816" t="s">
        <v>37</v>
      </c>
      <c r="N279" s="922">
        <f t="shared" si="30"/>
        <v>0</v>
      </c>
      <c r="O279" s="920"/>
      <c r="P279" s="920"/>
      <c r="Q279" s="923"/>
      <c r="R279" s="884"/>
      <c r="S279" s="793"/>
      <c r="T279" s="793"/>
      <c r="U279" s="793"/>
    </row>
    <row r="280" spans="2:21" ht="12.75" hidden="1">
      <c r="B280" s="793"/>
      <c r="C280" s="793"/>
      <c r="D280" s="793"/>
      <c r="E280" s="882"/>
      <c r="F280" s="919">
        <v>4</v>
      </c>
      <c r="G280" s="920" t="str">
        <f t="shared" si="29"/>
        <v>Tution Fees</v>
      </c>
      <c r="H280" s="920"/>
      <c r="I280" s="920"/>
      <c r="J280" s="920"/>
      <c r="K280" s="920"/>
      <c r="L280" s="921"/>
      <c r="M280" s="816" t="s">
        <v>37</v>
      </c>
      <c r="N280" s="922">
        <f t="shared" si="30"/>
        <v>0</v>
      </c>
      <c r="O280" s="920"/>
      <c r="P280" s="920"/>
      <c r="Q280" s="923"/>
      <c r="R280" s="884"/>
      <c r="S280" s="793"/>
      <c r="T280" s="793"/>
      <c r="U280" s="793"/>
    </row>
    <row r="281" spans="2:21" ht="12.75" hidden="1">
      <c r="B281" s="793"/>
      <c r="C281" s="793"/>
      <c r="D281" s="793"/>
      <c r="E281" s="882"/>
      <c r="F281" s="919">
        <v>5</v>
      </c>
      <c r="G281" s="920" t="str">
        <f t="shared" si="29"/>
        <v>ICICI Prudential</v>
      </c>
      <c r="H281" s="920"/>
      <c r="I281" s="920"/>
      <c r="J281" s="920"/>
      <c r="K281" s="920"/>
      <c r="L281" s="921"/>
      <c r="M281" s="816" t="s">
        <v>37</v>
      </c>
      <c r="N281" s="922">
        <f t="shared" si="30"/>
        <v>0</v>
      </c>
      <c r="O281" s="920"/>
      <c r="P281" s="920"/>
      <c r="Q281" s="923"/>
      <c r="R281" s="884"/>
      <c r="S281" s="793"/>
      <c r="T281" s="793"/>
      <c r="U281" s="793"/>
    </row>
    <row r="282" spans="2:21" ht="13.5" hidden="1" thickBot="1">
      <c r="B282" s="793"/>
      <c r="C282" s="793"/>
      <c r="D282" s="793"/>
      <c r="E282" s="882"/>
      <c r="F282" s="924">
        <v>6</v>
      </c>
      <c r="G282" s="914" t="str">
        <f t="shared" si="29"/>
        <v>Refund of loan for H.B.A.</v>
      </c>
      <c r="H282" s="914"/>
      <c r="I282" s="914"/>
      <c r="J282" s="914"/>
      <c r="K282" s="914"/>
      <c r="L282" s="915"/>
      <c r="M282" s="636" t="s">
        <v>37</v>
      </c>
      <c r="N282" s="916">
        <f t="shared" si="30"/>
        <v>0</v>
      </c>
      <c r="O282" s="914"/>
      <c r="P282" s="914"/>
      <c r="Q282" s="925"/>
      <c r="R282" s="884"/>
      <c r="S282" s="793"/>
      <c r="T282" s="793"/>
      <c r="U282" s="793"/>
    </row>
    <row r="283" spans="2:21" ht="13.5" hidden="1" thickBot="1">
      <c r="B283" s="793"/>
      <c r="C283" s="793"/>
      <c r="D283" s="793"/>
      <c r="E283" s="882"/>
      <c r="F283" s="926">
        <v>7</v>
      </c>
      <c r="G283" s="927" t="str">
        <f>+AT17</f>
        <v>INFRASTRUCTURE BOND</v>
      </c>
      <c r="H283" s="928"/>
      <c r="I283" s="928"/>
      <c r="J283" s="927"/>
      <c r="K283" s="927"/>
      <c r="L283" s="929"/>
      <c r="M283" s="930" t="s">
        <v>37</v>
      </c>
      <c r="N283" s="931">
        <f>+U205</f>
        <v>0</v>
      </c>
      <c r="O283" s="1429">
        <f>+N277+N278+N279+N280+N281+N282</f>
        <v>0</v>
      </c>
      <c r="P283" s="1430"/>
      <c r="Q283" s="1431"/>
      <c r="R283" s="884"/>
      <c r="S283" s="793"/>
      <c r="T283" s="793"/>
      <c r="U283" s="793"/>
    </row>
    <row r="284" spans="2:21" ht="12.75" hidden="1">
      <c r="B284" s="793"/>
      <c r="C284" s="793"/>
      <c r="D284" s="793"/>
      <c r="E284" s="882"/>
      <c r="F284" s="901"/>
      <c r="G284" s="883"/>
      <c r="H284" s="883"/>
      <c r="I284" s="883"/>
      <c r="J284" s="883"/>
      <c r="K284" s="883"/>
      <c r="L284" s="887"/>
      <c r="M284" s="885"/>
      <c r="N284" s="892"/>
      <c r="O284" s="883"/>
      <c r="P284" s="883"/>
      <c r="Q284" s="883"/>
      <c r="R284" s="884"/>
      <c r="S284" s="793"/>
      <c r="T284" s="793"/>
      <c r="U284" s="793"/>
    </row>
    <row r="285" spans="2:21" ht="12.75" hidden="1">
      <c r="B285" s="793"/>
      <c r="C285" s="793"/>
      <c r="D285" s="793"/>
      <c r="E285" s="882"/>
      <c r="F285" s="901"/>
      <c r="G285" s="883"/>
      <c r="H285" s="883"/>
      <c r="I285" s="883"/>
      <c r="J285" s="883"/>
      <c r="K285" s="883"/>
      <c r="L285" s="887"/>
      <c r="M285" s="885"/>
      <c r="N285" s="892"/>
      <c r="O285" s="883"/>
      <c r="P285" s="883"/>
      <c r="Q285" s="883"/>
      <c r="R285" s="884"/>
      <c r="S285" s="793"/>
      <c r="T285" s="793"/>
      <c r="U285" s="793"/>
    </row>
    <row r="286" spans="2:21" ht="13.5" hidden="1" thickBot="1">
      <c r="B286" s="793"/>
      <c r="C286" s="793"/>
      <c r="D286" s="793"/>
      <c r="E286" s="932"/>
      <c r="F286" s="847"/>
      <c r="G286" s="847"/>
      <c r="H286" s="847"/>
      <c r="I286" s="847"/>
      <c r="J286" s="847"/>
      <c r="K286" s="847"/>
      <c r="L286" s="847"/>
      <c r="M286" s="848" t="s">
        <v>51</v>
      </c>
      <c r="N286" s="847"/>
      <c r="O286" s="847"/>
      <c r="P286" s="847"/>
      <c r="Q286" s="847"/>
      <c r="R286" s="849"/>
      <c r="S286" s="793"/>
      <c r="T286" s="793"/>
      <c r="U286" s="793"/>
    </row>
    <row r="287" spans="2:21" ht="12.75" hidden="1">
      <c r="B287" s="793"/>
      <c r="C287" s="793"/>
      <c r="D287" s="793"/>
      <c r="E287" s="793"/>
      <c r="F287" s="793"/>
      <c r="G287" s="793"/>
      <c r="H287" s="793"/>
      <c r="I287" s="793"/>
      <c r="J287" s="793"/>
      <c r="K287" s="793"/>
      <c r="L287" s="793"/>
      <c r="M287" s="793"/>
      <c r="N287" s="793"/>
      <c r="O287" s="793"/>
      <c r="P287" s="793"/>
      <c r="Q287" s="793"/>
      <c r="R287" s="793"/>
      <c r="S287" s="793"/>
      <c r="T287" s="793"/>
      <c r="U287" s="793"/>
    </row>
    <row r="288" ht="12.75" hidden="1"/>
    <row r="289" ht="12.75" hidden="1"/>
    <row r="290" ht="18" hidden="1">
      <c r="B290" s="525">
        <v>1</v>
      </c>
    </row>
    <row r="291" ht="18" hidden="1">
      <c r="B291" s="525">
        <v>4</v>
      </c>
    </row>
    <row r="292" ht="18" hidden="1">
      <c r="B292" s="525">
        <v>7</v>
      </c>
    </row>
    <row r="293" ht="18" hidden="1">
      <c r="B293" s="525">
        <v>10</v>
      </c>
    </row>
    <row r="294" ht="12.75" hidden="1"/>
    <row r="295" ht="18" hidden="1">
      <c r="B295" s="525" t="s">
        <v>6</v>
      </c>
    </row>
    <row r="296" ht="18" hidden="1">
      <c r="B296" s="525" t="s">
        <v>8</v>
      </c>
    </row>
    <row r="297" ht="12.75" hidden="1"/>
    <row r="298" ht="18" hidden="1">
      <c r="B298" s="525" t="s">
        <v>71</v>
      </c>
    </row>
    <row r="299" ht="18" hidden="1">
      <c r="B299" s="525" t="s">
        <v>73</v>
      </c>
    </row>
    <row r="300" ht="12.75" hidden="1"/>
    <row r="301" ht="12.75" hidden="1"/>
    <row r="302" ht="15.75" hidden="1">
      <c r="B302" s="526">
        <v>0</v>
      </c>
    </row>
    <row r="303" ht="15.75" hidden="1">
      <c r="B303" s="526">
        <v>3</v>
      </c>
    </row>
    <row r="304" ht="15.75" hidden="1">
      <c r="B304" s="526">
        <f>+B303+1</f>
        <v>4</v>
      </c>
    </row>
    <row r="305" ht="15.75" hidden="1">
      <c r="B305" s="526">
        <f aca="true" t="shared" si="31" ref="B305:B316">+B304+1</f>
        <v>5</v>
      </c>
    </row>
    <row r="306" ht="15.75" hidden="1">
      <c r="B306" s="526">
        <f t="shared" si="31"/>
        <v>6</v>
      </c>
    </row>
    <row r="307" ht="15.75" hidden="1">
      <c r="B307" s="526">
        <f t="shared" si="31"/>
        <v>7</v>
      </c>
    </row>
    <row r="308" ht="15.75" hidden="1">
      <c r="B308" s="526">
        <f t="shared" si="31"/>
        <v>8</v>
      </c>
    </row>
    <row r="309" ht="15.75" hidden="1">
      <c r="B309" s="526">
        <f t="shared" si="31"/>
        <v>9</v>
      </c>
    </row>
    <row r="310" ht="15.75" hidden="1">
      <c r="B310" s="526">
        <f t="shared" si="31"/>
        <v>10</v>
      </c>
    </row>
    <row r="311" ht="15.75" hidden="1">
      <c r="B311" s="526">
        <f t="shared" si="31"/>
        <v>11</v>
      </c>
    </row>
    <row r="312" ht="15.75" hidden="1">
      <c r="B312" s="526">
        <f t="shared" si="31"/>
        <v>12</v>
      </c>
    </row>
    <row r="313" ht="12.75" hidden="1"/>
    <row r="314" ht="15.75" hidden="1">
      <c r="B314" s="526">
        <v>0</v>
      </c>
    </row>
    <row r="315" ht="15.75" hidden="1">
      <c r="B315" s="526">
        <f t="shared" si="31"/>
        <v>1</v>
      </c>
    </row>
    <row r="316" ht="15.75" hidden="1">
      <c r="B316" s="526">
        <f t="shared" si="31"/>
        <v>2</v>
      </c>
    </row>
    <row r="317" ht="15.75" hidden="1">
      <c r="B317" s="526"/>
    </row>
    <row r="318" ht="15.75" hidden="1">
      <c r="B318" s="526" t="s">
        <v>236</v>
      </c>
    </row>
    <row r="319" ht="15.75" hidden="1">
      <c r="B319" s="526" t="s">
        <v>237</v>
      </c>
    </row>
    <row r="320" ht="12.75" hidden="1"/>
    <row r="321" spans="1:2" ht="13.5" hidden="1" thickBot="1">
      <c r="A321" s="529" t="s">
        <v>72</v>
      </c>
      <c r="B321" s="530">
        <v>0</v>
      </c>
    </row>
    <row r="322" spans="1:2" ht="12.75" hidden="1">
      <c r="A322" s="531">
        <v>1</v>
      </c>
      <c r="B322" s="532">
        <v>1900</v>
      </c>
    </row>
    <row r="323" spans="1:2" ht="12.75" hidden="1">
      <c r="A323" s="533">
        <f>+A322+1</f>
        <v>2</v>
      </c>
      <c r="B323" s="534">
        <v>2200</v>
      </c>
    </row>
    <row r="324" spans="1:2" ht="12.75" hidden="1">
      <c r="A324" s="533">
        <f aca="true" t="shared" si="32" ref="A324:A332">+A323+1</f>
        <v>3</v>
      </c>
      <c r="B324" s="534">
        <v>2500</v>
      </c>
    </row>
    <row r="325" spans="1:2" ht="12.75" hidden="1">
      <c r="A325" s="533">
        <f t="shared" si="32"/>
        <v>4</v>
      </c>
      <c r="B325" s="534">
        <v>2800</v>
      </c>
    </row>
    <row r="326" spans="1:2" ht="12.75" hidden="1">
      <c r="A326" s="533">
        <f t="shared" si="32"/>
        <v>5</v>
      </c>
      <c r="B326" s="534">
        <v>4300</v>
      </c>
    </row>
    <row r="327" spans="1:2" ht="12.75" hidden="1">
      <c r="A327" s="533">
        <f t="shared" si="32"/>
        <v>6</v>
      </c>
      <c r="B327" s="534">
        <v>5100</v>
      </c>
    </row>
    <row r="328" spans="1:2" ht="12.75" hidden="1">
      <c r="A328" s="533">
        <f t="shared" si="32"/>
        <v>7</v>
      </c>
      <c r="B328" s="534">
        <v>5400</v>
      </c>
    </row>
    <row r="329" spans="1:2" ht="12.75" hidden="1">
      <c r="A329" s="533">
        <f t="shared" si="32"/>
        <v>8</v>
      </c>
      <c r="B329" s="534">
        <v>6100</v>
      </c>
    </row>
    <row r="330" spans="1:2" ht="12.75" hidden="1">
      <c r="A330" s="533">
        <f t="shared" si="32"/>
        <v>9</v>
      </c>
      <c r="B330" s="534">
        <v>6200</v>
      </c>
    </row>
    <row r="331" spans="1:2" ht="12.75" hidden="1">
      <c r="A331" s="533">
        <f t="shared" si="32"/>
        <v>10</v>
      </c>
      <c r="B331" s="534">
        <v>7000</v>
      </c>
    </row>
    <row r="332" spans="1:2" ht="12.75" hidden="1">
      <c r="A332" s="533">
        <f t="shared" si="32"/>
        <v>11</v>
      </c>
      <c r="B332" s="534">
        <v>8700</v>
      </c>
    </row>
    <row r="333" spans="1:2" ht="12.75" hidden="1">
      <c r="A333" s="533">
        <v>12</v>
      </c>
      <c r="B333" s="534">
        <v>4300</v>
      </c>
    </row>
    <row r="334" spans="1:2" ht="12.75" hidden="1">
      <c r="A334" s="533">
        <v>13</v>
      </c>
      <c r="B334" s="534">
        <v>2900</v>
      </c>
    </row>
    <row r="335" spans="1:2" ht="12.75" hidden="1">
      <c r="A335" s="533">
        <v>14</v>
      </c>
      <c r="B335" s="534">
        <v>9500</v>
      </c>
    </row>
    <row r="336" spans="1:2" ht="13.5" hidden="1" thickBot="1">
      <c r="A336" s="535">
        <v>15</v>
      </c>
      <c r="B336" s="536">
        <v>1400</v>
      </c>
    </row>
    <row r="337" spans="1:2" ht="13.5" hidden="1" thickBot="1">
      <c r="A337" s="537">
        <v>16</v>
      </c>
      <c r="B337" s="538">
        <v>300</v>
      </c>
    </row>
    <row r="338" ht="12.75" hidden="1"/>
    <row r="339" ht="12.75" hidden="1"/>
    <row r="340" ht="12.75" hidden="1"/>
    <row r="341" ht="12.75"/>
  </sheetData>
  <sheetProtection/>
  <mergeCells count="176">
    <mergeCell ref="O276:Q276"/>
    <mergeCell ref="O283:Q283"/>
    <mergeCell ref="D222:E222"/>
    <mergeCell ref="B225:E225"/>
    <mergeCell ref="F249:Q249"/>
    <mergeCell ref="E271:Q272"/>
    <mergeCell ref="O274:Q274"/>
    <mergeCell ref="O275:Q275"/>
    <mergeCell ref="D219:E219"/>
    <mergeCell ref="G219:U219"/>
    <mergeCell ref="D220:E220"/>
    <mergeCell ref="G220:U220"/>
    <mergeCell ref="D221:E221"/>
    <mergeCell ref="G221:U221"/>
    <mergeCell ref="D217:E217"/>
    <mergeCell ref="H217:M217"/>
    <mergeCell ref="Q217:T217"/>
    <mergeCell ref="D218:E218"/>
    <mergeCell ref="H218:M218"/>
    <mergeCell ref="Q218:T218"/>
    <mergeCell ref="H214:M214"/>
    <mergeCell ref="Q214:S214"/>
    <mergeCell ref="B215:E215"/>
    <mergeCell ref="H215:M215"/>
    <mergeCell ref="Q215:T215"/>
    <mergeCell ref="D216:E216"/>
    <mergeCell ref="H216:M216"/>
    <mergeCell ref="Q216:S216"/>
    <mergeCell ref="H211:M211"/>
    <mergeCell ref="Q211:S211"/>
    <mergeCell ref="H212:M212"/>
    <mergeCell ref="Q212:S212"/>
    <mergeCell ref="H213:M213"/>
    <mergeCell ref="Q213:R213"/>
    <mergeCell ref="H208:M208"/>
    <mergeCell ref="Q208:T208"/>
    <mergeCell ref="H209:M209"/>
    <mergeCell ref="Q209:T209"/>
    <mergeCell ref="H210:M210"/>
    <mergeCell ref="Q210:S210"/>
    <mergeCell ref="H205:M205"/>
    <mergeCell ref="Q205:S205"/>
    <mergeCell ref="H206:M206"/>
    <mergeCell ref="Q206:T206"/>
    <mergeCell ref="H207:L207"/>
    <mergeCell ref="Q207:T207"/>
    <mergeCell ref="H202:M202"/>
    <mergeCell ref="Q202:S202"/>
    <mergeCell ref="H203:L203"/>
    <mergeCell ref="Q203:T203"/>
    <mergeCell ref="H204:M204"/>
    <mergeCell ref="Q204:S204"/>
    <mergeCell ref="H198:L198"/>
    <mergeCell ref="H199:I199"/>
    <mergeCell ref="Q199:S199"/>
    <mergeCell ref="H200:L200"/>
    <mergeCell ref="Q200:S200"/>
    <mergeCell ref="H201:I201"/>
    <mergeCell ref="Q201:S201"/>
    <mergeCell ref="H195:M195"/>
    <mergeCell ref="Q195:S195"/>
    <mergeCell ref="H196:L196"/>
    <mergeCell ref="Q196:S196"/>
    <mergeCell ref="H197:M197"/>
    <mergeCell ref="Q197:S197"/>
    <mergeCell ref="H192:M192"/>
    <mergeCell ref="Q192:T192"/>
    <mergeCell ref="H193:M193"/>
    <mergeCell ref="Q193:S193"/>
    <mergeCell ref="H194:L194"/>
    <mergeCell ref="Q194:S194"/>
    <mergeCell ref="G91:R91"/>
    <mergeCell ref="G92:R92"/>
    <mergeCell ref="N95:P95"/>
    <mergeCell ref="Q95:S95"/>
    <mergeCell ref="N96:P96"/>
    <mergeCell ref="Q96:T96"/>
    <mergeCell ref="G85:R85"/>
    <mergeCell ref="G86:R86"/>
    <mergeCell ref="G87:R87"/>
    <mergeCell ref="G88:R88"/>
    <mergeCell ref="G89:R89"/>
    <mergeCell ref="G90:R90"/>
    <mergeCell ref="G82:N82"/>
    <mergeCell ref="O82:P82"/>
    <mergeCell ref="G83:N83"/>
    <mergeCell ref="O83:P83"/>
    <mergeCell ref="Q83:R83"/>
    <mergeCell ref="G84:R84"/>
    <mergeCell ref="G79:N79"/>
    <mergeCell ref="O79:P79"/>
    <mergeCell ref="G80:N80"/>
    <mergeCell ref="O80:P80"/>
    <mergeCell ref="G81:N81"/>
    <mergeCell ref="O81:P81"/>
    <mergeCell ref="G73:R73"/>
    <mergeCell ref="G74:R74"/>
    <mergeCell ref="G75:R75"/>
    <mergeCell ref="G76:R76"/>
    <mergeCell ref="G77:R77"/>
    <mergeCell ref="G78:R78"/>
    <mergeCell ref="G67:U67"/>
    <mergeCell ref="G68:R68"/>
    <mergeCell ref="G69:R69"/>
    <mergeCell ref="G70:R70"/>
    <mergeCell ref="G71:R71"/>
    <mergeCell ref="G72:R72"/>
    <mergeCell ref="G61:R61"/>
    <mergeCell ref="G62:R62"/>
    <mergeCell ref="G63:R63"/>
    <mergeCell ref="G64:R64"/>
    <mergeCell ref="G65:R65"/>
    <mergeCell ref="G66:R66"/>
    <mergeCell ref="G55:R55"/>
    <mergeCell ref="G56:R56"/>
    <mergeCell ref="G57:R57"/>
    <mergeCell ref="G58:R58"/>
    <mergeCell ref="G59:R59"/>
    <mergeCell ref="G60:R60"/>
    <mergeCell ref="K51:L51"/>
    <mergeCell ref="N51:R51"/>
    <mergeCell ref="K52:L52"/>
    <mergeCell ref="N52:R52"/>
    <mergeCell ref="G53:U53"/>
    <mergeCell ref="G54:R54"/>
    <mergeCell ref="K48:L48"/>
    <mergeCell ref="N48:R48"/>
    <mergeCell ref="K49:L49"/>
    <mergeCell ref="N49:R49"/>
    <mergeCell ref="K50:L50"/>
    <mergeCell ref="N50:R50"/>
    <mergeCell ref="I44:L44"/>
    <mergeCell ref="M45:O45"/>
    <mergeCell ref="K46:L46"/>
    <mergeCell ref="N46:P46"/>
    <mergeCell ref="Q46:R46"/>
    <mergeCell ref="K47:L47"/>
    <mergeCell ref="N47:R47"/>
    <mergeCell ref="G39:I39"/>
    <mergeCell ref="J39:K39"/>
    <mergeCell ref="Q39:T39"/>
    <mergeCell ref="Q40:T40"/>
    <mergeCell ref="G42:U42"/>
    <mergeCell ref="G43:H43"/>
    <mergeCell ref="I43:L43"/>
    <mergeCell ref="G33:U33"/>
    <mergeCell ref="G34:U34"/>
    <mergeCell ref="G36:R36"/>
    <mergeCell ref="G37:I37"/>
    <mergeCell ref="J37:K37"/>
    <mergeCell ref="G38:I38"/>
    <mergeCell ref="J38:K38"/>
    <mergeCell ref="T6:T7"/>
    <mergeCell ref="A10:A11"/>
    <mergeCell ref="AA12:AB12"/>
    <mergeCell ref="AT22:AV22"/>
    <mergeCell ref="O24:U24"/>
    <mergeCell ref="G32:R32"/>
    <mergeCell ref="L6:L7"/>
    <mergeCell ref="M6:M7"/>
    <mergeCell ref="N6:N7"/>
    <mergeCell ref="Q6:Q7"/>
    <mergeCell ref="R6:R7"/>
    <mergeCell ref="S6:S7"/>
    <mergeCell ref="F6:F7"/>
    <mergeCell ref="G6:G7"/>
    <mergeCell ref="H6:H7"/>
    <mergeCell ref="I6:I7"/>
    <mergeCell ref="J6:J7"/>
    <mergeCell ref="K6:K7"/>
    <mergeCell ref="G1:U1"/>
    <mergeCell ref="X1:X2"/>
    <mergeCell ref="AH1:AL1"/>
    <mergeCell ref="G2:U2"/>
    <mergeCell ref="P3:U3"/>
    <mergeCell ref="P4:U4"/>
  </mergeCells>
  <dataValidations count="2">
    <dataValidation type="list" allowBlank="1" showInputMessage="1" showErrorMessage="1" sqref="X3">
      <formula1>$AF$51:$AF$62</formula1>
    </dataValidation>
    <dataValidation type="list" allowBlank="1" showInputMessage="1" showErrorMessage="1" sqref="B4">
      <formula1>$B$295:$B$296</formula1>
    </dataValidation>
  </dataValidations>
  <printOptions/>
  <pageMargins left="0.3937007874015748" right="0.1968503937007874" top="0.11811023622047245" bottom="0.11811023622047245" header="0.31496062992125984" footer="0.31496062992125984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33"/>
  <sheetViews>
    <sheetView zoomScalePageLayoutView="0" workbookViewId="0" topLeftCell="A1">
      <selection activeCell="A13" sqref="A13:J21"/>
    </sheetView>
  </sheetViews>
  <sheetFormatPr defaultColWidth="9.140625" defaultRowHeight="12.75"/>
  <sheetData>
    <row r="10" spans="2:10" ht="18">
      <c r="B10" s="1441" t="s">
        <v>331</v>
      </c>
      <c r="C10" s="1441"/>
      <c r="D10" s="1441"/>
      <c r="E10" s="1441"/>
      <c r="F10" s="1441"/>
      <c r="G10" s="1441"/>
      <c r="H10" s="1441"/>
      <c r="I10" s="1441"/>
      <c r="J10" s="1441"/>
    </row>
    <row r="11" spans="2:10" ht="18">
      <c r="B11" s="525"/>
      <c r="C11" s="525"/>
      <c r="D11" s="525"/>
      <c r="E11" s="525"/>
      <c r="F11" s="525"/>
      <c r="G11" s="525"/>
      <c r="H11" s="525"/>
      <c r="I11" s="525"/>
      <c r="J11" s="525"/>
    </row>
    <row r="13" spans="1:10" ht="12.75" customHeight="1">
      <c r="A13" s="1443" t="str">
        <f>"Received a sum of Rs."&amp;+'IT-STATEMENT-2017-2018'!B13&amp;"/-"&amp;"("&amp;+'IT-STATEMENT-2017-2018'!U96&amp;")"&amp;" from"&amp;" "&amp;+'IT-STATEMENT-2017-2018'!H3&amp;", towards the rent for the Door No……………………………………………………………………………………………………………………for the Month of …………………………………"</f>
        <v>Received a sum of Rs.8200/-(Rupees Eight  Thousand Two hundred Only) from 0, towards the rent for the Door No……………………………………………………………………………………………………………………for the Month of …………………………………</v>
      </c>
      <c r="B13" s="1443"/>
      <c r="C13" s="1443"/>
      <c r="D13" s="1443"/>
      <c r="E13" s="1443"/>
      <c r="F13" s="1443"/>
      <c r="G13" s="1443"/>
      <c r="H13" s="1443"/>
      <c r="I13" s="1443"/>
      <c r="J13" s="1443"/>
    </row>
    <row r="14" spans="1:10" ht="12.75" customHeight="1">
      <c r="A14" s="1443"/>
      <c r="B14" s="1443"/>
      <c r="C14" s="1443"/>
      <c r="D14" s="1443"/>
      <c r="E14" s="1443"/>
      <c r="F14" s="1443"/>
      <c r="G14" s="1443"/>
      <c r="H14" s="1443"/>
      <c r="I14" s="1443"/>
      <c r="J14" s="1443"/>
    </row>
    <row r="15" spans="1:10" ht="12.75" customHeight="1">
      <c r="A15" s="1443"/>
      <c r="B15" s="1443"/>
      <c r="C15" s="1443"/>
      <c r="D15" s="1443"/>
      <c r="E15" s="1443"/>
      <c r="F15" s="1443"/>
      <c r="G15" s="1443"/>
      <c r="H15" s="1443"/>
      <c r="I15" s="1443"/>
      <c r="J15" s="1443"/>
    </row>
    <row r="16" spans="1:10" ht="12.75" customHeight="1">
      <c r="A16" s="1443"/>
      <c r="B16" s="1443"/>
      <c r="C16" s="1443"/>
      <c r="D16" s="1443"/>
      <c r="E16" s="1443"/>
      <c r="F16" s="1443"/>
      <c r="G16" s="1443"/>
      <c r="H16" s="1443"/>
      <c r="I16" s="1443"/>
      <c r="J16" s="1443"/>
    </row>
    <row r="17" spans="1:10" ht="12.75" customHeight="1">
      <c r="A17" s="1443"/>
      <c r="B17" s="1443"/>
      <c r="C17" s="1443"/>
      <c r="D17" s="1443"/>
      <c r="E17" s="1443"/>
      <c r="F17" s="1443"/>
      <c r="G17" s="1443"/>
      <c r="H17" s="1443"/>
      <c r="I17" s="1443"/>
      <c r="J17" s="1443"/>
    </row>
    <row r="18" spans="1:10" ht="12.75" customHeight="1">
      <c r="A18" s="1443"/>
      <c r="B18" s="1443"/>
      <c r="C18" s="1443"/>
      <c r="D18" s="1443"/>
      <c r="E18" s="1443"/>
      <c r="F18" s="1443"/>
      <c r="G18" s="1443"/>
      <c r="H18" s="1443"/>
      <c r="I18" s="1443"/>
      <c r="J18" s="1443"/>
    </row>
    <row r="19" spans="1:10" ht="12.75" customHeight="1">
      <c r="A19" s="1443"/>
      <c r="B19" s="1443"/>
      <c r="C19" s="1443"/>
      <c r="D19" s="1443"/>
      <c r="E19" s="1443"/>
      <c r="F19" s="1443"/>
      <c r="G19" s="1443"/>
      <c r="H19" s="1443"/>
      <c r="I19" s="1443"/>
      <c r="J19" s="1443"/>
    </row>
    <row r="20" spans="1:10" ht="12.75" customHeight="1">
      <c r="A20" s="1443"/>
      <c r="B20" s="1443"/>
      <c r="C20" s="1443"/>
      <c r="D20" s="1443"/>
      <c r="E20" s="1443"/>
      <c r="F20" s="1443"/>
      <c r="G20" s="1443"/>
      <c r="H20" s="1443"/>
      <c r="I20" s="1443"/>
      <c r="J20" s="1443"/>
    </row>
    <row r="21" spans="1:10" ht="12.75" customHeight="1">
      <c r="A21" s="1443"/>
      <c r="B21" s="1443"/>
      <c r="C21" s="1443"/>
      <c r="D21" s="1443"/>
      <c r="E21" s="1443"/>
      <c r="F21" s="1443"/>
      <c r="G21" s="1443"/>
      <c r="H21" s="1443"/>
      <c r="I21" s="1443"/>
      <c r="J21" s="1443"/>
    </row>
    <row r="23" spans="9:10" ht="18">
      <c r="I23" s="1442"/>
      <c r="J23" s="1442"/>
    </row>
    <row r="32" spans="1:11" ht="18">
      <c r="A32" s="622" t="s">
        <v>332</v>
      </c>
      <c r="G32" s="1442" t="s">
        <v>333</v>
      </c>
      <c r="H32" s="1442"/>
      <c r="I32" s="1442"/>
      <c r="J32" s="1442"/>
      <c r="K32" s="623"/>
    </row>
    <row r="33" ht="18">
      <c r="A33" s="622" t="s">
        <v>334</v>
      </c>
    </row>
  </sheetData>
  <sheetProtection/>
  <mergeCells count="4">
    <mergeCell ref="B10:J10"/>
    <mergeCell ref="I23:J23"/>
    <mergeCell ref="A13:J21"/>
    <mergeCell ref="G32:J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Kowshik</dc:creator>
  <cp:keywords/>
  <dc:description/>
  <cp:lastModifiedBy>EB Nandanam</cp:lastModifiedBy>
  <cp:lastPrinted>2017-09-08T00:28:51Z</cp:lastPrinted>
  <dcterms:created xsi:type="dcterms:W3CDTF">1996-10-14T23:33:28Z</dcterms:created>
  <dcterms:modified xsi:type="dcterms:W3CDTF">2017-10-26T14:58:14Z</dcterms:modified>
  <cp:category/>
  <cp:version/>
  <cp:contentType/>
  <cp:contentStatus/>
</cp:coreProperties>
</file>