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xr:revisionPtr revIDLastSave="0" documentId="8_{69F05046-E6A8-A941-AC19-7EBE3A6E7F3D}" xr6:coauthVersionLast="47" xr6:coauthVersionMax="47" xr10:uidLastSave="{00000000-0000-0000-0000-000000000000}"/>
  <bookViews>
    <workbookView xWindow="-105" yWindow="-105" windowWidth="20730" windowHeight="11760" firstSheet="1" activeTab="4" xr2:uid="{00000000-000D-0000-FFFF-FFFF00000000}"/>
  </bookViews>
  <sheets>
    <sheet name="Tirupur Annex-1" sheetId="9" r:id="rId1"/>
    <sheet name="Tirupur Annex II" sheetId="10" r:id="rId2"/>
    <sheet name="Tirupur Annexure-III" sheetId="3" r:id="rId3"/>
    <sheet name="Annexure-IV TR FROM TPR EDC" sheetId="4" r:id="rId4"/>
    <sheet name="Annexure-IV TR FROM OTHER EDC " sheetId="7" r:id="rId5"/>
    <sheet name="ANNEXURE V FINAL-EDIT" sheetId="13" r:id="rId6"/>
    <sheet name="Annexure-I" sheetId="5" state="hidden" r:id="rId7"/>
    <sheet name="Annexure-II" sheetId="1" state="hidden" r:id="rId8"/>
    <sheet name="Annexure-V MODIFIED" sheetId="11" state="hidden" r:id="rId9"/>
    <sheet name="Annexure-V" sheetId="6" state="hidden" r:id="rId10"/>
    <sheet name="Sheet1" sheetId="8" r:id="rId11"/>
  </sheets>
  <definedNames>
    <definedName name="_xlnm._FilterDatabase" localSheetId="5" hidden="1">'ANNEXURE V FINAL-EDIT'!$A$4:$K$108</definedName>
    <definedName name="_xlnm.Print_Area" localSheetId="6">'Annexure-I'!$A$1:$H$14</definedName>
    <definedName name="_xlnm.Print_Area" localSheetId="7">'Annexure-II'!$A$1:$R$16</definedName>
    <definedName name="_xlnm.Print_Area" localSheetId="9">'Annexure-V'!$A$2:$T$94</definedName>
    <definedName name="_xlnm.Print_Area" localSheetId="8">'Annexure-V MODIFIED'!$A$2:$T$116</definedName>
    <definedName name="_xlnm.Print_Area" localSheetId="0">'Tirupur Annex-1'!$A$1:$H$4</definedName>
    <definedName name="_xlnm.Print_Titles" localSheetId="5">'ANNEXURE V FINAL-EDIT'!$4:$5</definedName>
    <definedName name="_xlnm.Print_Titles" localSheetId="9">'Annexure-V'!$3:$4</definedName>
    <definedName name="_xlnm.Print_Titles" localSheetId="8">'Annexure-V MODIFIED'!$3:$4</definedName>
    <definedName name="_xlnm.Print_Titles" localSheetId="1">'Tirupur Annex II'!$4:$4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0" l="1"/>
  <c r="G36" i="10"/>
  <c r="G42" i="10"/>
  <c r="G46" i="10"/>
  <c r="G47" i="10"/>
  <c r="H25" i="10"/>
  <c r="H36" i="10"/>
  <c r="H42" i="10"/>
  <c r="H46" i="10"/>
  <c r="H47" i="10"/>
  <c r="F25" i="10"/>
  <c r="F36" i="10"/>
  <c r="F42" i="10"/>
  <c r="F46" i="10"/>
  <c r="F47" i="10"/>
  <c r="E47" i="10"/>
  <c r="D47" i="10"/>
  <c r="E18" i="10"/>
  <c r="I96" i="13"/>
  <c r="I47" i="10"/>
  <c r="J47" i="10"/>
  <c r="K47" i="10"/>
  <c r="L47" i="10"/>
  <c r="M47" i="10"/>
  <c r="N47" i="10"/>
  <c r="O47" i="10"/>
  <c r="P47" i="10"/>
  <c r="Q47" i="10"/>
  <c r="R47" i="10"/>
  <c r="I17" i="10"/>
  <c r="J17" i="10"/>
  <c r="K17" i="10"/>
  <c r="L17" i="10"/>
  <c r="M17" i="10"/>
  <c r="N17" i="10"/>
  <c r="O17" i="10"/>
  <c r="P17" i="10"/>
  <c r="Q17" i="10"/>
  <c r="R17" i="10"/>
  <c r="D17" i="10"/>
  <c r="E17" i="10"/>
  <c r="C17" i="10"/>
  <c r="F47" i="13"/>
  <c r="G47" i="13"/>
  <c r="H47" i="13"/>
  <c r="I47" i="13"/>
  <c r="J47" i="13"/>
  <c r="E47" i="13"/>
  <c r="J41" i="13"/>
  <c r="I41" i="13"/>
  <c r="H41" i="13"/>
  <c r="H36" i="13"/>
  <c r="I36" i="13"/>
  <c r="I106" i="13"/>
  <c r="G106" i="13"/>
  <c r="F106" i="13"/>
  <c r="E106" i="13"/>
  <c r="J105" i="13"/>
  <c r="H105" i="13"/>
  <c r="J104" i="13"/>
  <c r="H104" i="13"/>
  <c r="J103" i="13"/>
  <c r="H103" i="13"/>
  <c r="G101" i="13"/>
  <c r="F101" i="13"/>
  <c r="E101" i="13"/>
  <c r="I101" i="13"/>
  <c r="H101" i="13"/>
  <c r="J101" i="13"/>
  <c r="J96" i="13"/>
  <c r="H96" i="13"/>
  <c r="G91" i="13"/>
  <c r="F91" i="13"/>
  <c r="E91" i="13"/>
  <c r="J86" i="13"/>
  <c r="J91" i="13"/>
  <c r="I86" i="13"/>
  <c r="I91" i="13"/>
  <c r="H86" i="13"/>
  <c r="T84" i="13"/>
  <c r="S84" i="13"/>
  <c r="R84" i="13"/>
  <c r="Q84" i="13"/>
  <c r="P84" i="13"/>
  <c r="O84" i="13"/>
  <c r="N84" i="13"/>
  <c r="M84" i="13"/>
  <c r="L84" i="13"/>
  <c r="G83" i="13"/>
  <c r="F83" i="13"/>
  <c r="E83" i="13"/>
  <c r="J82" i="13"/>
  <c r="I82" i="13"/>
  <c r="H82" i="13"/>
  <c r="J81" i="13"/>
  <c r="I81" i="13"/>
  <c r="H81" i="13"/>
  <c r="J80" i="13"/>
  <c r="I80" i="13"/>
  <c r="H80" i="13"/>
  <c r="J79" i="13"/>
  <c r="I79" i="13"/>
  <c r="H79" i="13"/>
  <c r="J78" i="13"/>
  <c r="I78" i="13"/>
  <c r="H78" i="13"/>
  <c r="J77" i="13"/>
  <c r="I77" i="13"/>
  <c r="H77" i="13"/>
  <c r="J76" i="13"/>
  <c r="I76" i="13"/>
  <c r="H76" i="13"/>
  <c r="G75" i="13"/>
  <c r="F75" i="13"/>
  <c r="E75" i="13"/>
  <c r="J69" i="13"/>
  <c r="I69" i="13"/>
  <c r="H69" i="13"/>
  <c r="J66" i="13"/>
  <c r="I66" i="13"/>
  <c r="H66" i="13"/>
  <c r="J65" i="13"/>
  <c r="I65" i="13"/>
  <c r="H65" i="13"/>
  <c r="J64" i="13"/>
  <c r="I64" i="13"/>
  <c r="H64" i="13"/>
  <c r="J63" i="13"/>
  <c r="I63" i="13"/>
  <c r="H63" i="13"/>
  <c r="G62" i="13"/>
  <c r="F62" i="13"/>
  <c r="E62" i="13"/>
  <c r="J61" i="13"/>
  <c r="I61" i="13"/>
  <c r="H61" i="13"/>
  <c r="J58" i="13"/>
  <c r="I58" i="13"/>
  <c r="H58" i="13"/>
  <c r="J57" i="13"/>
  <c r="I57" i="13"/>
  <c r="H57" i="13"/>
  <c r="J56" i="13"/>
  <c r="I56" i="13"/>
  <c r="H56" i="13"/>
  <c r="J55" i="13"/>
  <c r="I55" i="13"/>
  <c r="H55" i="13"/>
  <c r="G54" i="13"/>
  <c r="F54" i="13"/>
  <c r="E54" i="13"/>
  <c r="J53" i="13"/>
  <c r="I53" i="13"/>
  <c r="H53" i="13"/>
  <c r="J51" i="13"/>
  <c r="I51" i="13"/>
  <c r="H51" i="13"/>
  <c r="J50" i="13"/>
  <c r="I50" i="13"/>
  <c r="H50" i="13"/>
  <c r="J49" i="13"/>
  <c r="I49" i="13"/>
  <c r="H49" i="13"/>
  <c r="T48" i="13"/>
  <c r="S48" i="13"/>
  <c r="R48" i="13"/>
  <c r="Q48" i="13"/>
  <c r="P48" i="13"/>
  <c r="O48" i="13"/>
  <c r="N48" i="13"/>
  <c r="M48" i="13"/>
  <c r="L48" i="13"/>
  <c r="J40" i="13"/>
  <c r="I40" i="13"/>
  <c r="H40" i="13"/>
  <c r="J39" i="13"/>
  <c r="I39" i="13"/>
  <c r="H39" i="13"/>
  <c r="J38" i="13"/>
  <c r="I38" i="13"/>
  <c r="H38" i="13"/>
  <c r="J37" i="13"/>
  <c r="I37" i="13"/>
  <c r="H37" i="13"/>
  <c r="G36" i="13"/>
  <c r="F36" i="13"/>
  <c r="E36" i="13"/>
  <c r="J33" i="13"/>
  <c r="J32" i="13"/>
  <c r="J36" i="13"/>
  <c r="G27" i="13"/>
  <c r="F27" i="13"/>
  <c r="E27" i="13"/>
  <c r="J25" i="13"/>
  <c r="I25" i="13"/>
  <c r="H25" i="13"/>
  <c r="J24" i="13"/>
  <c r="I24" i="13"/>
  <c r="H24" i="13"/>
  <c r="J23" i="13"/>
  <c r="I23" i="13"/>
  <c r="H23" i="13"/>
  <c r="J19" i="13"/>
  <c r="I19" i="13"/>
  <c r="H19" i="13"/>
  <c r="G18" i="13"/>
  <c r="F18" i="13"/>
  <c r="E18" i="13"/>
  <c r="J16" i="13"/>
  <c r="H16" i="13"/>
  <c r="J15" i="13"/>
  <c r="H15" i="13"/>
  <c r="J14" i="13"/>
  <c r="I14" i="13"/>
  <c r="H14" i="13"/>
  <c r="J13" i="13"/>
  <c r="I13" i="13"/>
  <c r="H13" i="13"/>
  <c r="G12" i="13"/>
  <c r="F12" i="13"/>
  <c r="E12" i="13"/>
  <c r="I10" i="13"/>
  <c r="J8" i="13"/>
  <c r="I8" i="13"/>
  <c r="H8" i="13"/>
  <c r="J7" i="13"/>
  <c r="I7" i="13"/>
  <c r="H7" i="13"/>
  <c r="J6" i="13"/>
  <c r="I6" i="13"/>
  <c r="H6" i="13"/>
  <c r="G48" i="13"/>
  <c r="F48" i="13"/>
  <c r="E48" i="13"/>
  <c r="G26" i="10"/>
  <c r="H106" i="13"/>
  <c r="E107" i="13"/>
  <c r="I54" i="13"/>
  <c r="J62" i="13"/>
  <c r="F107" i="13"/>
  <c r="J106" i="13"/>
  <c r="J107" i="13"/>
  <c r="J54" i="13"/>
  <c r="H62" i="13"/>
  <c r="G84" i="13"/>
  <c r="F84" i="13"/>
  <c r="H75" i="13"/>
  <c r="E84" i="13"/>
  <c r="H18" i="13"/>
  <c r="J12" i="13"/>
  <c r="I27" i="13"/>
  <c r="H12" i="13"/>
  <c r="G107" i="13"/>
  <c r="H91" i="13"/>
  <c r="H54" i="13"/>
  <c r="I62" i="13"/>
  <c r="H27" i="13"/>
  <c r="J27" i="13"/>
  <c r="H83" i="13"/>
  <c r="I18" i="13"/>
  <c r="I75" i="13"/>
  <c r="I83" i="13"/>
  <c r="I12" i="13"/>
  <c r="J18" i="13"/>
  <c r="J75" i="13"/>
  <c r="J83" i="13"/>
  <c r="I107" i="13"/>
  <c r="I48" i="13"/>
  <c r="H48" i="13"/>
  <c r="J48" i="13"/>
  <c r="H107" i="13"/>
  <c r="G108" i="13"/>
  <c r="F108" i="13"/>
  <c r="E108" i="13"/>
  <c r="J84" i="13"/>
  <c r="H84" i="13"/>
  <c r="I84" i="13"/>
  <c r="I40" i="11"/>
  <c r="J61" i="11"/>
  <c r="I61" i="11"/>
  <c r="H61" i="11"/>
  <c r="G77" i="11"/>
  <c r="F77" i="11"/>
  <c r="E77" i="11"/>
  <c r="J15" i="11"/>
  <c r="I15" i="11"/>
  <c r="H15" i="11"/>
  <c r="F32" i="11"/>
  <c r="G32" i="11"/>
  <c r="H32" i="11"/>
  <c r="I32" i="11"/>
  <c r="J32" i="11"/>
  <c r="E32" i="11"/>
  <c r="G11" i="11"/>
  <c r="F11" i="11"/>
  <c r="E11" i="11"/>
  <c r="J72" i="11"/>
  <c r="I72" i="11"/>
  <c r="H72" i="11"/>
  <c r="J75" i="11"/>
  <c r="I75" i="11"/>
  <c r="H75" i="11"/>
  <c r="J74" i="11"/>
  <c r="I74" i="11"/>
  <c r="H74" i="11"/>
  <c r="J73" i="11"/>
  <c r="I73" i="11"/>
  <c r="H73" i="11"/>
  <c r="I93" i="11"/>
  <c r="G93" i="11"/>
  <c r="F93" i="11"/>
  <c r="E93" i="11"/>
  <c r="J92" i="11"/>
  <c r="J93" i="11"/>
  <c r="H92" i="11"/>
  <c r="H93" i="11"/>
  <c r="G88" i="11"/>
  <c r="F88" i="11"/>
  <c r="E88" i="11"/>
  <c r="J87" i="11"/>
  <c r="I87" i="11"/>
  <c r="H87" i="11"/>
  <c r="J86" i="11"/>
  <c r="I86" i="11"/>
  <c r="H86" i="11"/>
  <c r="J85" i="11"/>
  <c r="I85" i="11"/>
  <c r="H85" i="11"/>
  <c r="J84" i="11"/>
  <c r="I84" i="11"/>
  <c r="H84" i="11"/>
  <c r="J83" i="11"/>
  <c r="H83" i="11"/>
  <c r="T70" i="11"/>
  <c r="S70" i="11"/>
  <c r="R70" i="11"/>
  <c r="Q70" i="11"/>
  <c r="P70" i="11"/>
  <c r="O70" i="11"/>
  <c r="N70" i="11"/>
  <c r="M70" i="11"/>
  <c r="L70" i="11"/>
  <c r="G69" i="11"/>
  <c r="F69" i="11"/>
  <c r="E69" i="11"/>
  <c r="J68" i="11"/>
  <c r="I68" i="11"/>
  <c r="H68" i="11"/>
  <c r="J67" i="11"/>
  <c r="I67" i="11"/>
  <c r="H67" i="11"/>
  <c r="J66" i="11"/>
  <c r="I66" i="11"/>
  <c r="H66" i="11"/>
  <c r="J65" i="11"/>
  <c r="I65" i="11"/>
  <c r="H65" i="11"/>
  <c r="J64" i="11"/>
  <c r="I64" i="11"/>
  <c r="H64" i="11"/>
  <c r="G63" i="11"/>
  <c r="F63" i="11"/>
  <c r="E63" i="11"/>
  <c r="J62" i="11"/>
  <c r="I62" i="11"/>
  <c r="H62" i="11"/>
  <c r="J58" i="11"/>
  <c r="I58" i="11"/>
  <c r="H58" i="11"/>
  <c r="J57" i="11"/>
  <c r="I57" i="11"/>
  <c r="H57" i="11"/>
  <c r="J56" i="11"/>
  <c r="I56" i="11"/>
  <c r="H56" i="11"/>
  <c r="J55" i="11"/>
  <c r="I55" i="11"/>
  <c r="H55" i="11"/>
  <c r="G54" i="11"/>
  <c r="F54" i="11"/>
  <c r="E54" i="11"/>
  <c r="J53" i="11"/>
  <c r="H53" i="11"/>
  <c r="J50" i="11"/>
  <c r="H50" i="11"/>
  <c r="J49" i="11"/>
  <c r="I49" i="11"/>
  <c r="H49" i="11"/>
  <c r="J48" i="11"/>
  <c r="I48" i="11"/>
  <c r="H48" i="11"/>
  <c r="J47" i="11"/>
  <c r="I47" i="11"/>
  <c r="H47" i="11"/>
  <c r="J46" i="11"/>
  <c r="I46" i="11"/>
  <c r="H46" i="11"/>
  <c r="G45" i="11"/>
  <c r="F45" i="11"/>
  <c r="E45" i="11"/>
  <c r="J44" i="11"/>
  <c r="I44" i="11"/>
  <c r="H44" i="11"/>
  <c r="J43" i="11"/>
  <c r="H43" i="11"/>
  <c r="J41" i="11"/>
  <c r="I41" i="11"/>
  <c r="H41" i="11"/>
  <c r="J40" i="11"/>
  <c r="H40" i="11"/>
  <c r="J39" i="11"/>
  <c r="I39" i="11"/>
  <c r="H39" i="11"/>
  <c r="T38" i="11"/>
  <c r="S38" i="11"/>
  <c r="R38" i="11"/>
  <c r="Q38" i="11"/>
  <c r="P38" i="11"/>
  <c r="O38" i="11"/>
  <c r="N38" i="11"/>
  <c r="M38" i="11"/>
  <c r="L38" i="11"/>
  <c r="J37" i="11"/>
  <c r="I37" i="11"/>
  <c r="H37" i="11"/>
  <c r="J36" i="11"/>
  <c r="I36" i="11"/>
  <c r="H36" i="11"/>
  <c r="J35" i="11"/>
  <c r="I35" i="11"/>
  <c r="H35" i="11"/>
  <c r="J34" i="11"/>
  <c r="I34" i="11"/>
  <c r="H34" i="11"/>
  <c r="J33" i="11"/>
  <c r="I33" i="11"/>
  <c r="H33" i="11"/>
  <c r="G26" i="11"/>
  <c r="F26" i="11"/>
  <c r="E26" i="11"/>
  <c r="J24" i="11"/>
  <c r="I24" i="11"/>
  <c r="H24" i="11"/>
  <c r="J23" i="11"/>
  <c r="I23" i="11"/>
  <c r="H23" i="11"/>
  <c r="J22" i="11"/>
  <c r="I22" i="11"/>
  <c r="H22" i="11"/>
  <c r="J18" i="11"/>
  <c r="I18" i="11"/>
  <c r="H18" i="11"/>
  <c r="G17" i="11"/>
  <c r="F17" i="11"/>
  <c r="E17" i="11"/>
  <c r="J14" i="11"/>
  <c r="I14" i="11"/>
  <c r="H14" i="11"/>
  <c r="J13" i="11"/>
  <c r="I13" i="11"/>
  <c r="H13" i="11"/>
  <c r="J12" i="11"/>
  <c r="I12" i="11"/>
  <c r="H12" i="11"/>
  <c r="I9" i="11"/>
  <c r="J7" i="11"/>
  <c r="I7" i="11"/>
  <c r="H7" i="11"/>
  <c r="J6" i="11"/>
  <c r="I6" i="11"/>
  <c r="H6" i="11"/>
  <c r="J5" i="11"/>
  <c r="I5" i="11"/>
  <c r="H5" i="11"/>
  <c r="E17" i="3"/>
  <c r="E48" i="10"/>
  <c r="J81" i="6"/>
  <c r="J78" i="6"/>
  <c r="J52" i="6"/>
  <c r="J37" i="6"/>
  <c r="J18" i="6"/>
  <c r="J13" i="6"/>
  <c r="J82" i="6"/>
  <c r="J60" i="6"/>
  <c r="I60" i="6"/>
  <c r="H60" i="6"/>
  <c r="J88" i="6"/>
  <c r="H88" i="6"/>
  <c r="J45" i="6"/>
  <c r="H45" i="6"/>
  <c r="J89" i="6"/>
  <c r="H78" i="6"/>
  <c r="H37" i="6"/>
  <c r="H36" i="6"/>
  <c r="J39" i="6"/>
  <c r="H39" i="6"/>
  <c r="I16" i="6"/>
  <c r="H16" i="6"/>
  <c r="F89" i="6"/>
  <c r="G89" i="6"/>
  <c r="H89" i="6"/>
  <c r="I89" i="6"/>
  <c r="E89" i="6"/>
  <c r="J83" i="6"/>
  <c r="H83" i="6"/>
  <c r="G84" i="6"/>
  <c r="F84" i="6"/>
  <c r="I83" i="6"/>
  <c r="E84" i="6"/>
  <c r="F72" i="6"/>
  <c r="G72" i="6"/>
  <c r="E72" i="6"/>
  <c r="J54" i="6"/>
  <c r="H54" i="6"/>
  <c r="I82" i="6"/>
  <c r="H82" i="6"/>
  <c r="I81" i="6"/>
  <c r="H81" i="6"/>
  <c r="J80" i="6"/>
  <c r="I80" i="6"/>
  <c r="H80" i="6"/>
  <c r="J79" i="6"/>
  <c r="J84" i="6"/>
  <c r="I79" i="6"/>
  <c r="H79" i="6"/>
  <c r="J57" i="6"/>
  <c r="H57" i="6"/>
  <c r="J53" i="6"/>
  <c r="H53" i="6"/>
  <c r="H52" i="6"/>
  <c r="J49" i="6"/>
  <c r="H49" i="6"/>
  <c r="G50" i="6"/>
  <c r="F50" i="6"/>
  <c r="E50" i="6"/>
  <c r="J46" i="6"/>
  <c r="H46" i="6"/>
  <c r="J44" i="6"/>
  <c r="H44" i="6"/>
  <c r="E24" i="6"/>
  <c r="J8" i="6"/>
  <c r="H8" i="6"/>
  <c r="J43" i="6"/>
  <c r="H43" i="6"/>
  <c r="J42" i="6"/>
  <c r="H42" i="6"/>
  <c r="J40" i="6"/>
  <c r="H40" i="6"/>
  <c r="J36" i="6"/>
  <c r="I36" i="6"/>
  <c r="G24" i="6"/>
  <c r="F24" i="6"/>
  <c r="J71" i="6"/>
  <c r="I71" i="6"/>
  <c r="H71" i="6"/>
  <c r="J70" i="6"/>
  <c r="I70" i="6"/>
  <c r="H70" i="6"/>
  <c r="J69" i="6"/>
  <c r="I69" i="6"/>
  <c r="H69" i="6"/>
  <c r="J68" i="6"/>
  <c r="I68" i="6"/>
  <c r="H68" i="6"/>
  <c r="J67" i="6"/>
  <c r="I67" i="6"/>
  <c r="H67" i="6"/>
  <c r="H18" i="6"/>
  <c r="J16" i="6"/>
  <c r="H13" i="6"/>
  <c r="F11" i="10"/>
  <c r="H4" i="1"/>
  <c r="F4" i="1"/>
  <c r="I108" i="13"/>
  <c r="J50" i="6"/>
  <c r="H108" i="13"/>
  <c r="J108" i="13"/>
  <c r="H84" i="6"/>
  <c r="J77" i="11"/>
  <c r="H77" i="11"/>
  <c r="F94" i="11"/>
  <c r="F38" i="11"/>
  <c r="H88" i="11"/>
  <c r="J88" i="11"/>
  <c r="J94" i="11"/>
  <c r="J11" i="11"/>
  <c r="E94" i="11"/>
  <c r="G94" i="11"/>
  <c r="H11" i="11"/>
  <c r="I11" i="11"/>
  <c r="H94" i="11"/>
  <c r="I77" i="11"/>
  <c r="I45" i="11"/>
  <c r="H54" i="11"/>
  <c r="I63" i="11"/>
  <c r="I69" i="11"/>
  <c r="E38" i="11"/>
  <c r="H17" i="11"/>
  <c r="H26" i="11"/>
  <c r="J45" i="11"/>
  <c r="I17" i="11"/>
  <c r="I26" i="11"/>
  <c r="I54" i="11"/>
  <c r="H69" i="11"/>
  <c r="F70" i="11"/>
  <c r="I88" i="11"/>
  <c r="E70" i="11"/>
  <c r="J17" i="11"/>
  <c r="H45" i="11"/>
  <c r="J54" i="11"/>
  <c r="G70" i="11"/>
  <c r="G38" i="11"/>
  <c r="J26" i="11"/>
  <c r="H63" i="11"/>
  <c r="J63" i="11"/>
  <c r="J69" i="11"/>
  <c r="F90" i="6"/>
  <c r="G90" i="6"/>
  <c r="E90" i="6"/>
  <c r="I84" i="6"/>
  <c r="H72" i="6"/>
  <c r="I72" i="6"/>
  <c r="J72" i="6"/>
  <c r="J90" i="6"/>
  <c r="D11" i="10"/>
  <c r="D12" i="10"/>
  <c r="D19" i="10"/>
  <c r="E11" i="10"/>
  <c r="E12" i="10"/>
  <c r="I11" i="10"/>
  <c r="I12" i="10"/>
  <c r="I19" i="10"/>
  <c r="J11" i="10"/>
  <c r="J12" i="10"/>
  <c r="J19" i="10"/>
  <c r="K11" i="10"/>
  <c r="K12" i="10"/>
  <c r="K19" i="10"/>
  <c r="L11" i="10"/>
  <c r="L12" i="10"/>
  <c r="L19" i="10"/>
  <c r="M11" i="10"/>
  <c r="M12" i="10"/>
  <c r="M19" i="10"/>
  <c r="N11" i="10"/>
  <c r="N12" i="10"/>
  <c r="N19" i="10"/>
  <c r="O11" i="10"/>
  <c r="O12" i="10"/>
  <c r="O19" i="10"/>
  <c r="P11" i="10"/>
  <c r="P12" i="10"/>
  <c r="P19" i="10"/>
  <c r="Q11" i="10"/>
  <c r="Q12" i="10"/>
  <c r="Q19" i="10"/>
  <c r="R11" i="10"/>
  <c r="R12" i="10"/>
  <c r="R19" i="10"/>
  <c r="C11" i="10"/>
  <c r="C12" i="10"/>
  <c r="C19" i="10"/>
  <c r="G14" i="10"/>
  <c r="R6" i="10"/>
  <c r="Q6" i="10"/>
  <c r="P6" i="10"/>
  <c r="O6" i="10"/>
  <c r="N6" i="10"/>
  <c r="M6" i="10"/>
  <c r="L6" i="10"/>
  <c r="K6" i="10"/>
  <c r="J6" i="10"/>
  <c r="I6" i="10"/>
  <c r="E6" i="10"/>
  <c r="D6" i="10"/>
  <c r="C6" i="10"/>
  <c r="H6" i="10"/>
  <c r="F6" i="10"/>
  <c r="P15" i="1"/>
  <c r="Q15" i="1"/>
  <c r="P10" i="1"/>
  <c r="Q10" i="1"/>
  <c r="P5" i="1"/>
  <c r="P16" i="1"/>
  <c r="Q5" i="1"/>
  <c r="M15" i="1"/>
  <c r="M5" i="1"/>
  <c r="H25" i="7"/>
  <c r="G25" i="7"/>
  <c r="G16" i="10"/>
  <c r="F25" i="7"/>
  <c r="F14" i="1"/>
  <c r="E49" i="10"/>
  <c r="E19" i="10"/>
  <c r="Q49" i="10"/>
  <c r="I49" i="10"/>
  <c r="C49" i="10"/>
  <c r="D49" i="10"/>
  <c r="Q16" i="1"/>
  <c r="J49" i="10"/>
  <c r="F95" i="11"/>
  <c r="E95" i="11"/>
  <c r="I94" i="11"/>
  <c r="I70" i="11"/>
  <c r="G95" i="11"/>
  <c r="J70" i="11"/>
  <c r="I38" i="11"/>
  <c r="H38" i="11"/>
  <c r="J38" i="11"/>
  <c r="H70" i="11"/>
  <c r="I90" i="6"/>
  <c r="H90" i="6"/>
  <c r="G14" i="1"/>
  <c r="H16" i="10"/>
  <c r="M49" i="10"/>
  <c r="P49" i="10"/>
  <c r="L49" i="10"/>
  <c r="O49" i="10"/>
  <c r="K49" i="10"/>
  <c r="R49" i="10"/>
  <c r="N49" i="10"/>
  <c r="H14" i="1"/>
  <c r="M16" i="1"/>
  <c r="H15" i="4"/>
  <c r="F15" i="4"/>
  <c r="G18" i="7"/>
  <c r="H18" i="7"/>
  <c r="F18" i="7"/>
  <c r="J95" i="11"/>
  <c r="I95" i="11"/>
  <c r="H95" i="11"/>
  <c r="H13" i="1"/>
  <c r="H15" i="10"/>
  <c r="G14" i="3"/>
  <c r="G15" i="10"/>
  <c r="F14" i="3"/>
  <c r="F15" i="10"/>
  <c r="F13" i="1"/>
  <c r="G13" i="1"/>
  <c r="H14" i="3"/>
  <c r="D16" i="3"/>
  <c r="E16" i="3"/>
  <c r="C16" i="3"/>
  <c r="D15" i="1"/>
  <c r="E15" i="1"/>
  <c r="I15" i="1"/>
  <c r="J15" i="1"/>
  <c r="K15" i="1"/>
  <c r="L15" i="1"/>
  <c r="N15" i="1"/>
  <c r="O15" i="1"/>
  <c r="R15" i="1"/>
  <c r="C15" i="1"/>
  <c r="G12" i="1"/>
  <c r="H11" i="7"/>
  <c r="H14" i="10"/>
  <c r="F8" i="7"/>
  <c r="F7" i="7"/>
  <c r="F6" i="7"/>
  <c r="P65" i="6"/>
  <c r="Q65" i="6"/>
  <c r="R65" i="6"/>
  <c r="S65" i="6"/>
  <c r="T65" i="6"/>
  <c r="L65" i="6"/>
  <c r="M65" i="6"/>
  <c r="N65" i="6"/>
  <c r="O65" i="6"/>
  <c r="M34" i="6"/>
  <c r="N34" i="6"/>
  <c r="O34" i="6"/>
  <c r="P34" i="6"/>
  <c r="Q34" i="6"/>
  <c r="R34" i="6"/>
  <c r="S34" i="6"/>
  <c r="T34" i="6"/>
  <c r="L34" i="6"/>
  <c r="J6" i="6"/>
  <c r="J7" i="6"/>
  <c r="J11" i="6"/>
  <c r="J12" i="6"/>
  <c r="J17" i="6"/>
  <c r="J20" i="6"/>
  <c r="J21" i="6"/>
  <c r="J22" i="6"/>
  <c r="J25" i="6"/>
  <c r="J26" i="6"/>
  <c r="J27" i="6"/>
  <c r="J29" i="6"/>
  <c r="J30" i="6"/>
  <c r="J31" i="6"/>
  <c r="J32" i="6"/>
  <c r="J33" i="6"/>
  <c r="J35" i="6"/>
  <c r="J41" i="6"/>
  <c r="J51" i="6"/>
  <c r="J58" i="6"/>
  <c r="J59" i="6"/>
  <c r="J61" i="6"/>
  <c r="J62" i="6"/>
  <c r="J63" i="6"/>
  <c r="I6" i="6"/>
  <c r="I7" i="6"/>
  <c r="I8" i="6"/>
  <c r="I9" i="6"/>
  <c r="I11" i="6"/>
  <c r="I12" i="6"/>
  <c r="I13" i="6"/>
  <c r="I17" i="6"/>
  <c r="I18" i="6"/>
  <c r="I20" i="6"/>
  <c r="I21" i="6"/>
  <c r="I22" i="6"/>
  <c r="I25" i="6"/>
  <c r="I26" i="6"/>
  <c r="I27" i="6"/>
  <c r="I29" i="6"/>
  <c r="I30" i="6"/>
  <c r="I31" i="6"/>
  <c r="I32" i="6"/>
  <c r="I33" i="6"/>
  <c r="I35" i="6"/>
  <c r="I37" i="6"/>
  <c r="I40" i="6"/>
  <c r="I42" i="6"/>
  <c r="I43" i="6"/>
  <c r="I44" i="6"/>
  <c r="I45" i="6"/>
  <c r="I51" i="6"/>
  <c r="I52" i="6"/>
  <c r="I53" i="6"/>
  <c r="I54" i="6"/>
  <c r="I57" i="6"/>
  <c r="I59" i="6"/>
  <c r="I61" i="6"/>
  <c r="I62" i="6"/>
  <c r="I63" i="6"/>
  <c r="H29" i="6"/>
  <c r="H30" i="6"/>
  <c r="H31" i="6"/>
  <c r="H32" i="6"/>
  <c r="H33" i="6"/>
  <c r="H35" i="6"/>
  <c r="H41" i="6"/>
  <c r="H6" i="6"/>
  <c r="H7" i="6"/>
  <c r="H11" i="6"/>
  <c r="H12" i="6"/>
  <c r="H17" i="6"/>
  <c r="H20" i="6"/>
  <c r="H21" i="6"/>
  <c r="H22" i="6"/>
  <c r="H25" i="6"/>
  <c r="H26" i="6"/>
  <c r="H27" i="6"/>
  <c r="I5" i="6"/>
  <c r="J5" i="6"/>
  <c r="H5" i="6"/>
  <c r="H14" i="4"/>
  <c r="G14" i="4"/>
  <c r="F14" i="4"/>
  <c r="G15" i="4"/>
  <c r="H16" i="4"/>
  <c r="G16" i="4"/>
  <c r="F16" i="4"/>
  <c r="H13" i="4"/>
  <c r="G13" i="4"/>
  <c r="F13" i="4"/>
  <c r="H10" i="4"/>
  <c r="G10" i="4"/>
  <c r="F10" i="4"/>
  <c r="H9" i="4"/>
  <c r="G9" i="4"/>
  <c r="F9" i="4"/>
  <c r="H8" i="4"/>
  <c r="G8" i="4"/>
  <c r="F8" i="4"/>
  <c r="H7" i="4"/>
  <c r="G7" i="4"/>
  <c r="F7" i="4"/>
  <c r="H6" i="4"/>
  <c r="G6" i="4"/>
  <c r="F6" i="4"/>
  <c r="F41" i="6"/>
  <c r="F58" i="6"/>
  <c r="F64" i="6"/>
  <c r="F28" i="6"/>
  <c r="F15" i="6"/>
  <c r="F10" i="6"/>
  <c r="G28" i="6"/>
  <c r="G15" i="6"/>
  <c r="G10" i="6"/>
  <c r="G41" i="6"/>
  <c r="G58" i="6"/>
  <c r="G64" i="6"/>
  <c r="E58" i="6"/>
  <c r="E41" i="6"/>
  <c r="E64" i="6"/>
  <c r="E28" i="6"/>
  <c r="E15" i="6"/>
  <c r="E10" i="6"/>
  <c r="D5" i="1"/>
  <c r="E5" i="1"/>
  <c r="I5" i="1"/>
  <c r="J5" i="1"/>
  <c r="K5" i="1"/>
  <c r="L5" i="1"/>
  <c r="N5" i="1"/>
  <c r="O5" i="1"/>
  <c r="R5" i="1"/>
  <c r="C5" i="1"/>
  <c r="L10" i="1"/>
  <c r="N10" i="1"/>
  <c r="O10" i="1"/>
  <c r="R10" i="1"/>
  <c r="E6" i="5"/>
  <c r="E10" i="5"/>
  <c r="E13" i="5"/>
  <c r="N16" i="1"/>
  <c r="H17" i="10"/>
  <c r="O16" i="1"/>
  <c r="I50" i="6"/>
  <c r="I58" i="6"/>
  <c r="H10" i="6"/>
  <c r="J24" i="6"/>
  <c r="H10" i="10"/>
  <c r="J28" i="6"/>
  <c r="I41" i="6"/>
  <c r="I28" i="6"/>
  <c r="I15" i="6"/>
  <c r="I64" i="6"/>
  <c r="J64" i="6"/>
  <c r="J65" i="6"/>
  <c r="F34" i="6"/>
  <c r="J10" i="6"/>
  <c r="H28" i="6"/>
  <c r="H24" i="6"/>
  <c r="I24" i="6"/>
  <c r="E34" i="6"/>
  <c r="G34" i="6"/>
  <c r="I10" i="6"/>
  <c r="J15" i="6"/>
  <c r="H15" i="6"/>
  <c r="G10" i="10"/>
  <c r="G17" i="4"/>
  <c r="G8" i="3"/>
  <c r="G9" i="10"/>
  <c r="F11" i="7"/>
  <c r="F14" i="10"/>
  <c r="H17" i="4"/>
  <c r="H8" i="3"/>
  <c r="H8" i="1"/>
  <c r="F17" i="4"/>
  <c r="F8" i="3"/>
  <c r="H9" i="1"/>
  <c r="R16" i="1"/>
  <c r="H11" i="4"/>
  <c r="H7" i="3"/>
  <c r="H7" i="1"/>
  <c r="H12" i="1"/>
  <c r="H15" i="1"/>
  <c r="D12" i="5"/>
  <c r="H26" i="7"/>
  <c r="F11" i="4"/>
  <c r="F7" i="3"/>
  <c r="F7" i="1"/>
  <c r="L16" i="1"/>
  <c r="G11" i="4"/>
  <c r="G7" i="3"/>
  <c r="G8" i="10"/>
  <c r="G13" i="3"/>
  <c r="E65" i="6"/>
  <c r="G65" i="6"/>
  <c r="F65" i="6"/>
  <c r="C10" i="1"/>
  <c r="C16" i="1"/>
  <c r="D10" i="1"/>
  <c r="D16" i="1"/>
  <c r="E10" i="1"/>
  <c r="E16" i="1"/>
  <c r="I10" i="1"/>
  <c r="I16" i="1"/>
  <c r="J10" i="1"/>
  <c r="J16" i="1"/>
  <c r="K10" i="1"/>
  <c r="K16" i="1"/>
  <c r="G8" i="1"/>
  <c r="H8" i="10"/>
  <c r="F17" i="10"/>
  <c r="G7" i="1"/>
  <c r="F12" i="1"/>
  <c r="F13" i="3"/>
  <c r="F16" i="3"/>
  <c r="I65" i="6"/>
  <c r="F4" i="9"/>
  <c r="E91" i="6"/>
  <c r="G4" i="9"/>
  <c r="F91" i="6"/>
  <c r="G91" i="6"/>
  <c r="I34" i="6"/>
  <c r="H34" i="6"/>
  <c r="J34" i="6"/>
  <c r="J91" i="6"/>
  <c r="G4" i="5"/>
  <c r="G21" i="4"/>
  <c r="F21" i="4"/>
  <c r="G9" i="1"/>
  <c r="H9" i="10"/>
  <c r="H21" i="4"/>
  <c r="D5" i="5"/>
  <c r="H10" i="1"/>
  <c r="D11" i="5"/>
  <c r="F26" i="7"/>
  <c r="H13" i="3"/>
  <c r="H16" i="3"/>
  <c r="G11" i="10"/>
  <c r="F8" i="1"/>
  <c r="D4" i="5"/>
  <c r="H5" i="5"/>
  <c r="H4" i="5"/>
  <c r="G5" i="5"/>
  <c r="H10" i="3"/>
  <c r="G10" i="3"/>
  <c r="E10" i="3"/>
  <c r="E11" i="3"/>
  <c r="E18" i="3"/>
  <c r="D10" i="3"/>
  <c r="D11" i="3"/>
  <c r="D18" i="3"/>
  <c r="C10" i="3"/>
  <c r="C11" i="3"/>
  <c r="C18" i="3"/>
  <c r="F15" i="1"/>
  <c r="C12" i="5"/>
  <c r="G10" i="1"/>
  <c r="H11" i="10"/>
  <c r="H12" i="10"/>
  <c r="H19" i="10"/>
  <c r="I91" i="6"/>
  <c r="D6" i="5"/>
  <c r="D10" i="5"/>
  <c r="D13" i="5"/>
  <c r="H6" i="5"/>
  <c r="G11" i="3"/>
  <c r="C4" i="5"/>
  <c r="H5" i="1"/>
  <c r="H16" i="1"/>
  <c r="C5" i="5"/>
  <c r="G6" i="5"/>
  <c r="H49" i="10"/>
  <c r="C6" i="5"/>
  <c r="C10" i="5"/>
  <c r="H11" i="3"/>
  <c r="H18" i="3"/>
  <c r="G6" i="10"/>
  <c r="G4" i="1"/>
  <c r="G5" i="1"/>
  <c r="G12" i="10"/>
  <c r="F5" i="1"/>
  <c r="H50" i="6"/>
  <c r="H51" i="6"/>
  <c r="H58" i="6"/>
  <c r="H59" i="6"/>
  <c r="H61" i="6"/>
  <c r="H62" i="6"/>
  <c r="H63" i="6"/>
  <c r="H64" i="6"/>
  <c r="H65" i="6"/>
  <c r="H91" i="6"/>
  <c r="F12" i="10"/>
  <c r="F19" i="10"/>
  <c r="F49" i="10"/>
  <c r="F9" i="1"/>
  <c r="F10" i="1"/>
  <c r="F10" i="3"/>
  <c r="F11" i="3"/>
  <c r="F18" i="3"/>
  <c r="F16" i="1"/>
  <c r="F17" i="1"/>
  <c r="C11" i="5"/>
  <c r="C13" i="5"/>
</calcChain>
</file>

<file path=xl/sharedStrings.xml><?xml version="1.0" encoding="utf-8"?>
<sst xmlns="http://schemas.openxmlformats.org/spreadsheetml/2006/main" count="862" uniqueCount="397">
  <si>
    <t>Sl No.</t>
  </si>
  <si>
    <t>Circle</t>
  </si>
  <si>
    <t>Division</t>
  </si>
  <si>
    <t>Sub division</t>
  </si>
  <si>
    <t>section</t>
  </si>
  <si>
    <t>LT Scs</t>
  </si>
  <si>
    <t>HT SCs</t>
  </si>
  <si>
    <t>No of DTs</t>
  </si>
  <si>
    <t>Stores</t>
  </si>
  <si>
    <t>Revenue Branch</t>
  </si>
  <si>
    <t>MRT &amp; Spl. Maint.</t>
  </si>
  <si>
    <t>230 KV SS</t>
  </si>
  <si>
    <t>33/11 KV SS</t>
  </si>
  <si>
    <t>LESS:</t>
  </si>
  <si>
    <t>Transferred to other circle</t>
  </si>
  <si>
    <t>SUB TOTAL (A)</t>
  </si>
  <si>
    <t>CIRCLE GRAND TOTAL (A)</t>
  </si>
  <si>
    <t>Sl No</t>
  </si>
  <si>
    <t>Name of the circle</t>
  </si>
  <si>
    <t>Name of the Division</t>
  </si>
  <si>
    <t>Name of the Sub Division</t>
  </si>
  <si>
    <t>Name of the section</t>
  </si>
  <si>
    <t>No of Services Transferred</t>
  </si>
  <si>
    <t>LT</t>
  </si>
  <si>
    <t>HT</t>
  </si>
  <si>
    <t>DT</t>
  </si>
  <si>
    <t xml:space="preserve">GRAND TOTAL </t>
  </si>
  <si>
    <t>Total No.of Service Connection (LT &amp; HT)</t>
  </si>
  <si>
    <t>No.of DTs</t>
  </si>
  <si>
    <t>No.of Sub- Station</t>
  </si>
  <si>
    <t>Name of Circle</t>
  </si>
  <si>
    <t>Name of Sub division</t>
  </si>
  <si>
    <t>Before reforming</t>
  </si>
  <si>
    <t xml:space="preserve"> After reforming</t>
  </si>
  <si>
    <t>Remarks</t>
  </si>
  <si>
    <t>SUB TOTAL (B)</t>
  </si>
  <si>
    <t xml:space="preserve">ABSTRACT </t>
  </si>
  <si>
    <t>ABSTRACT</t>
  </si>
  <si>
    <t>Tirupur</t>
  </si>
  <si>
    <t>Avinashi</t>
  </si>
  <si>
    <t xml:space="preserve">Total No.of Service Connection LT </t>
  </si>
  <si>
    <t>Total No.of Service Connection  HT</t>
  </si>
  <si>
    <t xml:space="preserve"> 110/11 KV SS</t>
  </si>
  <si>
    <t>110/22 -11KV  SS</t>
  </si>
  <si>
    <t xml:space="preserve"> Tirupur EDC (Existing)</t>
  </si>
  <si>
    <t>1.Transferred to -Coimbatore /North EDC</t>
  </si>
  <si>
    <t>AEE/Town South TPR</t>
  </si>
  <si>
    <t>Bazaar</t>
  </si>
  <si>
    <t>Town South Tirupur</t>
  </si>
  <si>
    <t>Townhall</t>
  </si>
  <si>
    <t>Mudalipalayam</t>
  </si>
  <si>
    <t>Kasipalayam</t>
  </si>
  <si>
    <t>Subdivision Total</t>
  </si>
  <si>
    <t>AEE/North TPR</t>
  </si>
  <si>
    <t>Bharathinagar</t>
  </si>
  <si>
    <t>Town East Tirupur</t>
  </si>
  <si>
    <t>Arulpuram</t>
  </si>
  <si>
    <t>Madeshwara Nagar</t>
  </si>
  <si>
    <t>AEE/Veerapondy</t>
  </si>
  <si>
    <t>Veerapandy</t>
  </si>
  <si>
    <t>Periandipalayam</t>
  </si>
  <si>
    <t>Ganapathipalayam</t>
  </si>
  <si>
    <t>Chinnakarai</t>
  </si>
  <si>
    <t>Karaipudur</t>
  </si>
  <si>
    <t>Murugam Palayam</t>
  </si>
  <si>
    <t>Iduvampalayam</t>
  </si>
  <si>
    <t>Chettipalayam</t>
  </si>
  <si>
    <t>South/P.K.Palayam</t>
  </si>
  <si>
    <t>North/P.K.Palayam</t>
  </si>
  <si>
    <t>RVE Nagar</t>
  </si>
  <si>
    <t>Peruntholuvu</t>
  </si>
  <si>
    <t>Nallur</t>
  </si>
  <si>
    <t>Thiruvalluvar Nagar</t>
  </si>
  <si>
    <t>Nachipalayam</t>
  </si>
  <si>
    <t>Rural / Uthukuli</t>
  </si>
  <si>
    <t>East / Uthukuli</t>
  </si>
  <si>
    <t>Chengapally</t>
  </si>
  <si>
    <t>S Periapalayam</t>
  </si>
  <si>
    <t>Town / Uthukuli</t>
  </si>
  <si>
    <t>AEE/Bridgewaycolony (Upgraded section)</t>
  </si>
  <si>
    <t>AEE/Kongunagar         (Upgraded section)</t>
  </si>
  <si>
    <t>AEE/Town West Trupur (Upgraded section)</t>
  </si>
  <si>
    <t>AEE/Town North Tirupur (Upgraded section)</t>
  </si>
  <si>
    <t>Tirupur Division Total</t>
  </si>
  <si>
    <t>AEE/Town Avinashi</t>
  </si>
  <si>
    <t>Town Avinashi</t>
  </si>
  <si>
    <t>South Cheyur</t>
  </si>
  <si>
    <t>North Cheyur</t>
  </si>
  <si>
    <t>T.M.Poondi</t>
  </si>
  <si>
    <t>AEE/Rural North Avinashi</t>
  </si>
  <si>
    <t>Rural West Avinashi</t>
  </si>
  <si>
    <t>Nambiampalayam</t>
  </si>
  <si>
    <t>Rural East Avinashi</t>
  </si>
  <si>
    <t>Vadugapalayam</t>
  </si>
  <si>
    <t>AEE/Anuparpalayam</t>
  </si>
  <si>
    <t>Town Anuparpalayam</t>
  </si>
  <si>
    <t>Rural Anuparpalayam</t>
  </si>
  <si>
    <t>North Perumanallur</t>
  </si>
  <si>
    <t>South Perumanallur</t>
  </si>
  <si>
    <t>R.K.Nagar</t>
  </si>
  <si>
    <t>Pandian Nagar</t>
  </si>
  <si>
    <t>Samundipuram</t>
  </si>
  <si>
    <t>Pooluvapatty</t>
  </si>
  <si>
    <t>Vengamedu</t>
  </si>
  <si>
    <t>AEE/North Annur</t>
  </si>
  <si>
    <t>North Annur</t>
  </si>
  <si>
    <t>Sellappampalayam</t>
  </si>
  <si>
    <t>Vadakkalur</t>
  </si>
  <si>
    <t>Karuvalur</t>
  </si>
  <si>
    <t>Pasur</t>
  </si>
  <si>
    <t xml:space="preserve"> Avinashi  Division Total</t>
  </si>
  <si>
    <t>2.Transferred to  Gopi EDC</t>
  </si>
  <si>
    <t>3.Transferred to Erode  EDC</t>
  </si>
  <si>
    <t>TRANSFERRED FROM TIRUPUR EDC TO OTHER CIRCLE</t>
  </si>
  <si>
    <t>1. Transfer to Coimbatore /North EDC</t>
  </si>
  <si>
    <t xml:space="preserve">North Annur </t>
  </si>
  <si>
    <t>Sellapappampalayam</t>
  </si>
  <si>
    <t>Vadakalur</t>
  </si>
  <si>
    <t xml:space="preserve">Pasur </t>
  </si>
  <si>
    <t>2. Transfer to  Gopi  EDC</t>
  </si>
  <si>
    <t>3. Transfer to   Erode EDC</t>
  </si>
  <si>
    <t>East uthukuli</t>
  </si>
  <si>
    <t>Uthukuli</t>
  </si>
  <si>
    <t xml:space="preserve">Rural North Avinashi  </t>
  </si>
  <si>
    <t xml:space="preserve">Tirupur Division </t>
  </si>
  <si>
    <t xml:space="preserve">Avinashi Division </t>
  </si>
  <si>
    <t xml:space="preserve">TPR Circle GRAND TOTAL </t>
  </si>
  <si>
    <t xml:space="preserve">Reference </t>
  </si>
  <si>
    <t xml:space="preserve">Tirupur Circle </t>
  </si>
  <si>
    <t xml:space="preserve">Tirupur Division  </t>
  </si>
  <si>
    <t xml:space="preserve"> Avinashi Division  </t>
  </si>
  <si>
    <t>Somanur</t>
  </si>
  <si>
    <t>north/somanur</t>
  </si>
  <si>
    <t>West/thekkalur</t>
  </si>
  <si>
    <t>East/Thekkalur</t>
  </si>
  <si>
    <t>15(1 EHT)</t>
  </si>
  <si>
    <t>Mangalam</t>
  </si>
  <si>
    <t>vanjipalayam</t>
  </si>
  <si>
    <t>poomalur</t>
  </si>
  <si>
    <t>mangalam</t>
  </si>
  <si>
    <t>Total</t>
  </si>
  <si>
    <t>41 + (1EHT)</t>
  </si>
  <si>
    <t>SUB TOTAL (C)</t>
  </si>
  <si>
    <t xml:space="preserve">Transferred  from CEDC/South </t>
  </si>
  <si>
    <t>Transferred  from  Gobi EDC</t>
  </si>
  <si>
    <t xml:space="preserve">Transferred  from  Erode EDC  </t>
  </si>
  <si>
    <t>ADD:</t>
  </si>
  <si>
    <t xml:space="preserve">Transferred from CEDC/South </t>
  </si>
  <si>
    <t>NAMBIYUR</t>
  </si>
  <si>
    <t>EAST NAMBIYUR</t>
  </si>
  <si>
    <t>WEST NAMBIYUT</t>
  </si>
  <si>
    <t>GOBI</t>
  </si>
  <si>
    <t>SOUTH/GOBI</t>
  </si>
  <si>
    <t>GETTICHEVIYUR</t>
  </si>
  <si>
    <t>SATHY</t>
  </si>
  <si>
    <t>PULIAMPATTY</t>
  </si>
  <si>
    <t>Kavilipalayam</t>
  </si>
  <si>
    <t>1. Transferred  from CEDC/South  to Tiruppur EDC</t>
  </si>
  <si>
    <t>2. TRANSFERRED FROM  Gobi EDC  to Tiruppur EDC</t>
  </si>
  <si>
    <t>Perundurai</t>
  </si>
  <si>
    <t>Kunnathur</t>
  </si>
  <si>
    <t>Town Kunnathur</t>
  </si>
  <si>
    <t>Rural Kunnathur</t>
  </si>
  <si>
    <t>East Kunnathur</t>
  </si>
  <si>
    <t xml:space="preserve">Total </t>
  </si>
  <si>
    <t>50 + 1 EHT</t>
  </si>
  <si>
    <t>110/33-11 KV SS</t>
  </si>
  <si>
    <t>50+1 EHT</t>
  </si>
  <si>
    <t>357+1 EHT</t>
  </si>
  <si>
    <t>Tirupur EDC  (Existing)</t>
  </si>
  <si>
    <t>Annexure I</t>
  </si>
  <si>
    <t xml:space="preserve"> Entirely Transferred to CBE North EDC</t>
  </si>
  <si>
    <t>Partially transferred to CBE North EDC</t>
  </si>
  <si>
    <t>Partially Transferred to   Gobi EDC and CEDC North</t>
  </si>
  <si>
    <t xml:space="preserve"> Transferred  to Erode Circle </t>
  </si>
  <si>
    <t xml:space="preserve"> Transferred  to Gobi Circle  </t>
  </si>
  <si>
    <t xml:space="preserve"> Transferred  to cbe /North Circle  </t>
  </si>
  <si>
    <t>AEE/Rayapuram       (Upgraded section)</t>
  </si>
  <si>
    <t>Transferred to  Gopi EDC</t>
  </si>
  <si>
    <t>Transferred to Erode EDC</t>
  </si>
  <si>
    <t>Transferred  to Coimbatore / North EDC</t>
  </si>
  <si>
    <t>110/33 Kv Ss</t>
  </si>
  <si>
    <t>Line Tap SS</t>
  </si>
  <si>
    <t>ABSTRACT  (Existing)</t>
  </si>
  <si>
    <t>ABSTRACT  (After Reforming)</t>
  </si>
  <si>
    <t xml:space="preserve">TEDC /Tirupur circle Total  After Reforming  </t>
  </si>
  <si>
    <t xml:space="preserve">Transferred   to Other Circles </t>
  </si>
  <si>
    <t xml:space="preserve">Transferred from  Other Circles </t>
  </si>
  <si>
    <t xml:space="preserve"> +EHT 1 No</t>
  </si>
  <si>
    <t xml:space="preserve">Existing TEDC Total </t>
  </si>
  <si>
    <t>TRANSFERRED FROM OTHER CIRCLE to TIRUPUR CIRCLE</t>
  </si>
  <si>
    <t>TIRUPUR EDC</t>
  </si>
  <si>
    <t>ADD:RECEIVED FROM OTHER CIRCLE</t>
  </si>
  <si>
    <t>ADD:RECEIVED FROM OTHER EDC</t>
  </si>
  <si>
    <t>SUB TOTAL(B)</t>
  </si>
  <si>
    <t>SUB TOTAL(A)</t>
  </si>
  <si>
    <t>357+(1 EHT)</t>
  </si>
  <si>
    <t>Total Transferred to Coimbatore/North EDC</t>
  </si>
  <si>
    <t>ENTIRE  KASIPALAYAM SECTION TRASFERED TO MUDHALIPALAYAM</t>
  </si>
  <si>
    <t>KASIPALAYAM SECTION TO BE ABOLISHED</t>
  </si>
  <si>
    <t>Madeshwara Nagar section to be abolished</t>
  </si>
  <si>
    <t xml:space="preserve">Transferred from Madeshwara Nagar </t>
  </si>
  <si>
    <t>CIRCLE GRAND TOTAL (A)+(B)</t>
  </si>
  <si>
    <t>Abstract for Division,Sub-division,Section,LT Services,HT Services and DTs</t>
  </si>
  <si>
    <t xml:space="preserve"> GRAND TOTAL (A+B)</t>
  </si>
  <si>
    <t>TRANSFERRED FROM TIRUPUR EDC TO GOBI EDC</t>
  </si>
  <si>
    <t>TRANSFERRED FROM TIRUPUR EDC TO ERODE EDC</t>
  </si>
  <si>
    <t>Total Transferred to Gobi/EDC</t>
  </si>
  <si>
    <t>Total Transferred to Erode/EDC</t>
  </si>
  <si>
    <t xml:space="preserve">Total transferred to other Circle </t>
  </si>
  <si>
    <t>Details of LT,HT Services and DTs</t>
  </si>
  <si>
    <t>Total received from Coimbatore/South EDC</t>
  </si>
  <si>
    <t>TRANSFERRED FROM ERODE TO TIRUPUR EDC</t>
  </si>
  <si>
    <t>TRANSFERRED FROM GOBI EDC TO TIRUPUR EDC</t>
  </si>
  <si>
    <t xml:space="preserve"> TRANSFERRED FROM  Erode  EDC  to Tiruppur EDC</t>
  </si>
  <si>
    <t xml:space="preserve">                 Streamlining of sections based on services/DTs                                                                                     </t>
  </si>
  <si>
    <t>Transferred from chinakarai</t>
  </si>
  <si>
    <t>AEE/RURAL UKL</t>
  </si>
  <si>
    <t>AEE/UTHUKULI</t>
  </si>
  <si>
    <t>Poomalur</t>
  </si>
  <si>
    <t>Transferred from coimbatore/South EDC</t>
  </si>
  <si>
    <t>AEE/RURAL TPR</t>
  </si>
  <si>
    <t>Partially transferred to   Gobi EDC and Transferred to Newly formed T.k.palayam Section</t>
  </si>
  <si>
    <t>Partially transferred to Newly formed Sundakkampalayam Section</t>
  </si>
  <si>
    <t>Partially transferred to newly formed Rakkiyapalayam Section</t>
  </si>
  <si>
    <t>Sundakkampalayam</t>
  </si>
  <si>
    <t>Transferred from R/E/Avn and Nambiyampalayam section</t>
  </si>
  <si>
    <t xml:space="preserve">Rakkiyapalayam </t>
  </si>
  <si>
    <t>Transferred from R/Anuparapalayam and R/E/Avinashi</t>
  </si>
  <si>
    <t>Partially Transferred to Samundipuram Section and Newly Rakkiyampalayam</t>
  </si>
  <si>
    <t>Partially transferred to Newly formed Pongupalayam Section</t>
  </si>
  <si>
    <t>Partially transferred to Vengamedu Section</t>
  </si>
  <si>
    <t>UTHUKULI DIVISION</t>
  </si>
  <si>
    <t>AEE/KUNATHUR</t>
  </si>
  <si>
    <t>Town Kunathur</t>
  </si>
  <si>
    <t xml:space="preserve">Rural Kunathur </t>
  </si>
  <si>
    <t>East kunathur</t>
  </si>
  <si>
    <t>P.G.Palayam</t>
  </si>
  <si>
    <t>Transferred from Erode EDC</t>
  </si>
  <si>
    <t>Partially transferred from Rurl/Anuparpaalyam</t>
  </si>
  <si>
    <t>sections transferred from Tirupur Division</t>
  </si>
  <si>
    <t xml:space="preserve">Sections transfrred from Tiruppur Division </t>
  </si>
  <si>
    <t>Pongupalaym</t>
  </si>
  <si>
    <t>Partially Transferred from Pandiyan nagar section</t>
  </si>
  <si>
    <t xml:space="preserve"> Uthukuli  Division Total</t>
  </si>
  <si>
    <t>GRAND TOTAL</t>
  </si>
  <si>
    <t>Vanjipalayam</t>
  </si>
  <si>
    <t>Section transferred from Coimbatore/South EDC</t>
  </si>
  <si>
    <t>West/Thekkalur</t>
  </si>
  <si>
    <t>15+1(EHT)</t>
  </si>
  <si>
    <t>Palangarai</t>
  </si>
  <si>
    <t>Newly formed section from T.M.Poondi section</t>
  </si>
  <si>
    <t>Chinakarai Section to be  Abolished</t>
  </si>
  <si>
    <t>Thandukarampalayam</t>
  </si>
  <si>
    <t>Partially transferred from R.K.Nagar section and Pandiyan nagar section</t>
  </si>
  <si>
    <t>Newly Formed Uthukuli Division</t>
  </si>
  <si>
    <t>AEE/PERUMANALLUR</t>
  </si>
  <si>
    <t>Transferred from Erode EDC and Partially Services added from West Nambiyur and Getticheviyur</t>
  </si>
  <si>
    <t>Newly formed section by partially transferred from S/Perumanallur and Pandiyan nagar</t>
  </si>
  <si>
    <t>Partially transferred to  Erode EDC and Partially transfrred from Tiruppur Division</t>
  </si>
  <si>
    <t>Newly formed section from South/Cheyur and North/Cheyur Section</t>
  </si>
  <si>
    <t>Partially Transferred to Newly Formed Palangarai Section</t>
  </si>
  <si>
    <t>Partially transferred to   Gobi EDC and Partially Services transferred from Nambiyur east Section/Gobi EDC</t>
  </si>
  <si>
    <t>Partially Transferred to   Gobi EDC and CEDC North and Patially Services added from kavilipalaym Section/ Gobi EDC</t>
  </si>
  <si>
    <t>Partially transferred to  Pongupalayam,Polluvaptty and Vengamedu Section</t>
  </si>
  <si>
    <t>Newly formed After reformation</t>
  </si>
  <si>
    <t>Newly Formed after reformation</t>
  </si>
  <si>
    <t>Periyandipalayam</t>
  </si>
  <si>
    <t>Entire section transferred from Veerpandy sub division to Town south Sub division</t>
  </si>
  <si>
    <t>Entire section transferred to Town South Tirupur Sub division</t>
  </si>
  <si>
    <t>Entire Section Transferred from coimbatore/South EDC</t>
  </si>
  <si>
    <t>Merged with kasipalayam Section and Transferred to Uthukuli Division</t>
  </si>
  <si>
    <t>Entire Section Transferred from Annuparpalayam Sub division</t>
  </si>
  <si>
    <t>Entire Section Transferred from Annuparpalayam Sub division  and Partially Services  Transferred from Pandiyan nagar section</t>
  </si>
  <si>
    <t>Entire Section Transferred from Annuparpalayam Sub division and  and Partially Services transferred to  Pongupalayam,Polluvaptty and Vengamedu Section</t>
  </si>
  <si>
    <t>Entire Section Transferred from Annuparpalayam Sub division and Partially Services transferred to Newly formed Pongupalayam Section</t>
  </si>
  <si>
    <t>Entire Chinakarai Section Merged with Veerpandy Section.</t>
  </si>
  <si>
    <t>Entire section Transferred to AEE/North/sub division</t>
  </si>
  <si>
    <t>AEE/MUDHALIPALAYAM</t>
  </si>
  <si>
    <t>Transferred From Veerpandy Sub division</t>
  </si>
  <si>
    <t>New section formed by Transferring Partial Services and DTS from R/Anuparapalayam and R/E/Avinashi</t>
  </si>
  <si>
    <t>New Section formed by Transferring  Partial DTS ans sevices from R/E/Avn and Nambiyampalayam section</t>
  </si>
  <si>
    <t>1600 LT SCs and 52 DTs to be Transferred from Madeshwara Nagar to Arulpuram</t>
  </si>
  <si>
    <t>1533 LT SCs, 1 No HT SC and 30 DTs Transferred From Madeshwarnagar to Ganapathypalayam section and Entire Ganapathypalayam section to be Transferred from Veerpandy Sub division to AEE/North Tirupur Sub Division</t>
  </si>
  <si>
    <t>Entire Chinakarai Section along with 2355 LT SCs,6 No HT SCs and 82 DTs to be Merged with Veerpandy Section.</t>
  </si>
  <si>
    <t>Entire section along with 9249 LT SCs,10 HT SCs,155 DTs transferred  to Town South Tirupur Sub division</t>
  </si>
  <si>
    <t>Entire section(5996 LT SCs,20 HT SCs and 81 DTs) Transferred to AEE/North/sub division</t>
  </si>
  <si>
    <t>Madeshwara Nagar section to be abolished and partially tranfered to Arulpuram and Ganapathypalayam section.</t>
  </si>
  <si>
    <t>7285 LT SCs,1 No HT and 178 DTs  to be Transferred from coimbatore/South EDC</t>
  </si>
  <si>
    <t>Chinakarai Section to be  Abolished and Entire Section transferred to Veerapandy section</t>
  </si>
  <si>
    <t>5400 LT SCs,60 DTs transferred to Newly formed Sundakkampalayam Section</t>
  </si>
  <si>
    <t xml:space="preserve"> Entire Section with 4606 LT SCs,11 HT SCs,156 DTs Transferred from coimbatore/South EDC</t>
  </si>
  <si>
    <t xml:space="preserve"> Entire Section  with 4757 LT SCs,15 HT SCs,1 EHT Scs and 128 DTs Transferred from coimbatore/South EDC</t>
  </si>
  <si>
    <t>1447 LT SCs,14 DTs transferred to Vengamedu Section</t>
  </si>
  <si>
    <t xml:space="preserve"> 1791 LT SCs,20DTs  transferred from Rural/Anuparpaalyam</t>
  </si>
  <si>
    <t xml:space="preserve"> Entire Section with 9464 LT SCs,4 HT SCs,135 DTs transferred from Coimbatore/South EDC</t>
  </si>
  <si>
    <t xml:space="preserve"> Entire Section with 8815 LT SCs,10 HT SCs,268 HT SCs transferred from Coimbatore/South EDC</t>
  </si>
  <si>
    <t>1447 LT SCs,14 DTs transferred from R.K.Nagar Section &amp; 3900 LT SCs,15 DTs Transferred from Pandiyan Nagar section.</t>
  </si>
  <si>
    <t>282 LT SCs,1 DT transferred to  Gobi EDC and2706 LT SCs,6 HT SCs,80 DTs transferred to  CEDC North.</t>
  </si>
  <si>
    <t xml:space="preserve"> Entire Section with 6206 LT SCs,118 DTs  Transferred to CBE North EDC</t>
  </si>
  <si>
    <t>950 LT SCs,11 DTs transferred to newly formed Sundakamapalaym Section,1440 LT SCs,45 DTs transferred to  CBE North EDC.</t>
  </si>
  <si>
    <t xml:space="preserve">  Entire Section with 11763 LT SCs,17 HT SCs &amp; 151 Dts Transferred to CBE North EDC</t>
  </si>
  <si>
    <t>Entire section with 4265 LT SCs,4 HT SCs and 115 DTs transferred from Uthukuli SubDivision</t>
  </si>
  <si>
    <t>Entire section with 4418 LT SCs,7 HT SCs,111 DTS  transferred from Tirupur Division TO Uthukuli division.</t>
  </si>
  <si>
    <t>Entire section with 5731 LT SCs,5 HT SCs,107 DTS  transferred from Tirupur Division TO Uthukuli division.</t>
  </si>
  <si>
    <t>2431 LT SCs,1 HT SC,54 DTs transferred to  Erode EDC and 5850 LT SCs,1 HT SC,157 DTs transferred from Tiruppur Division to uthukuli Division.</t>
  </si>
  <si>
    <t>Entire Section with 11517 LT SCs,2 HT SCs &amp; 160 DTS Transferred from Annuparpalayam Sub division to Newly formed Perumanallur Sub Division.</t>
  </si>
  <si>
    <t>Entire Section with 5514 LT SCs,1 HT SCs and 93 DTs  Transferred from Erode EDC</t>
  </si>
  <si>
    <t>2735 LT SCs,50 DTs Transferred to South/Pollikalipalayam</t>
  </si>
  <si>
    <r>
      <rPr>
        <b/>
        <sz val="28"/>
        <color theme="1"/>
        <rFont val="Tahoma"/>
        <family val="2"/>
      </rPr>
      <t xml:space="preserve">                                       </t>
    </r>
    <r>
      <rPr>
        <b/>
        <u/>
        <sz val="28"/>
        <color theme="1"/>
        <rFont val="Tahoma"/>
        <family val="2"/>
      </rPr>
      <t>TIRUPUR EDC</t>
    </r>
  </si>
  <si>
    <t>Entire section with 6351 LT SCs,42 DTs transferred from Rural/Tirupur SubDivision.886 LT SCs,and  28 DTstransferred from Nallur Section.</t>
  </si>
  <si>
    <t>33/11 KV KUMARANSALAI SS Attached with O&amp;M.</t>
  </si>
  <si>
    <t>33/11 KV Palvanjipalayam SS attached with O&amp;M.</t>
  </si>
  <si>
    <t>33/11 KV ANDIPALAYAM SS Attached with O&amp;M section.</t>
  </si>
  <si>
    <t>33/11 KV CHEYUR SS is attached with O&amp;M/North cheyur Section.678 LT SCs,6 DTs transferred to  Gobi EDC.</t>
  </si>
  <si>
    <t>Entire Section  with 3727 LT SCs,1 HT SCs and 75 DTs Transferred from Erode EDC.1865 LT SCs,21 DTs Transferred from Town Kunathur Section.</t>
  </si>
  <si>
    <t>Entire Section with 5680 LT SCs,3 HT SCs,89 DTs  Transferred from Erode EDC.664 LT SCs,13 DTs transferred from Town Kunathur Section.</t>
  </si>
  <si>
    <t>33/11 KV Vadugupalayam Unmanned SS is attached with O&amp;M/Vadugupalayam Section.120 LT SCs  transferred from  Gobi EDC.</t>
  </si>
  <si>
    <t>33/11 KV NALLUR SS is attached with O&amp;M/Nallur section.Entire section with 14321 LT SCs,4 HT SCs and  236 DTstransferred from Rural/Tirupur SubDivision.886 LT SCs,and  28 DTstransferred to Nachipalayam section.</t>
  </si>
  <si>
    <t xml:space="preserve"> 33/11 KV C.G.Pudhur SS is attached with O&amp;M/Periyandipalayam Section.Entire section along with 9249 LT SCs,10 HT SCs,155 DTs transferred from Veerpandy sub division to Town south Sub division.</t>
  </si>
  <si>
    <t>33/11 KV Chengapally SS is attached with O&amp;M/ Chenagapally Section.Entire section with 7523 LT SCs,2 HT SCs,159 DTS  transferred from Tirupur Division TO Uthukuli division.</t>
  </si>
  <si>
    <t>UPGRADED SECTIONS</t>
  </si>
  <si>
    <t>KASIPALAYAM SECTION TO BE ABOLISHED. MERGED WITH MUDHALIPALAYAM</t>
  </si>
  <si>
    <t>Entire Section with 15923 LT SCs,1 HT SCs &amp;160 DTs along with  1300 LT SCs,15 DTs  Transferred from Pandiyan nagar section transferred from Annuparapalaym Sub division to  Newly formed Perumanallur Sub Division.</t>
  </si>
  <si>
    <t>6877 LT SCs,98 DTs transferred to  Newly formed Pongupalayam Section and remaining South perumanllur Section with  11975 LT SCs,10 HT SCs &amp; 138 DTS transferred Annuparapalaym Sub division to  Newly formed Perumanallur Sub Division.</t>
  </si>
  <si>
    <t>Entire Section with 15923 LT SCs,1 HT SCs &amp;160 DTs along with  1300 LT SCs,15 DTs  Transferred from Pandiyan nagar section transferred fromAnnuparapalaym Sub division to  Newly formed Perumanallur Sub Division.</t>
  </si>
  <si>
    <t>Entire section with 4418 LT SCs,7 HT SCs,111 DTS  transferred from Tirupur Division TO Newly formed Uthukuli division.</t>
  </si>
  <si>
    <t>2431 LT SCs,1 HT SC,54 DTs transferred to  Erode EDC and 5850 LT SCs,1 HT SC,157 DTs transferred from Tiruppur Division to Newly formed uthukuli Division.</t>
  </si>
  <si>
    <t>33/11 KV Chengapally SS is attached with O&amp;M/ Chenagapally Section.Entire section with 7523 LT SCs,2 HT SCs,159 DTS  transferred from Tirupur Division TO Newly formed  Uthukuli division.</t>
  </si>
  <si>
    <t>Entire section with 4265 LT SCs,4 HT SCs,115 DTS  transferred from Tirupur Division TO Newly formed  Uthukuli division.</t>
  </si>
  <si>
    <t>Entire section with 5731 LT SCs,5 HT SCs,107 DTS  transferred from Tirupur Division TO Newly formed  Uthukuli division.</t>
  </si>
  <si>
    <t>Entire RVE Nagar section with 10543 LT SCs,2 HT SCs and 81 DTs transferred from Rural/Tirupur SubDivision to Newly formed Mudhalipalayam Subdivision.</t>
  </si>
  <si>
    <t>Entire section with 6351 LT SCs,42 DTs transferred from Rural/Tirupur SubDivision.</t>
  </si>
  <si>
    <t>2100 LT SCs,30 DTs transferred to Newly formed Ponguplayam Section&amp;1300 LT SCs,15 DTs transferrd to Polluvapatty section &amp; 3900 LT SCs,15 DTs Transferred to Vengamedu Section. Remaining Pandiyan nagar section with  17652 LT SCs,6 HT SCs and 220 DTs transferred from Annuparapalaym Sub division to  Newly formed Perumanallur Sub Division.</t>
  </si>
  <si>
    <t>Entire Mudhalipalayam and Kasipalayam section with 8046 LT SCs,8 HT SCs and 117 DTs transferred from Town south/Tirupur Subdivision to Newly formed Mudhalipalayam Sub division.</t>
  </si>
  <si>
    <t>Entire RVE Nagar section with 10543 LT SCs,2 HT SCs and 81 DTs transferred from Rural/Tirupur SubDivision to Newly formed Mudhalipalayam Sub division.</t>
  </si>
  <si>
    <t>33/11 KV NALLUR SS is attached with O&amp;M/Nallur section.886 LT SCs and  28 DTstransferred to Nachipalayam section.Remaining  section with 13435 LT SCs,4 HT SCs and  236 DTstransferred from Rural/Tirupur SubDivision.</t>
  </si>
  <si>
    <r>
      <t>Transferred from Avinashi Division to Newly formed Uthukuli Division-</t>
    </r>
    <r>
      <rPr>
        <b/>
        <sz val="13"/>
        <color theme="1"/>
        <rFont val="Tahoma"/>
        <family val="2"/>
      </rPr>
      <t>(D)</t>
    </r>
  </si>
  <si>
    <r>
      <t>Transferred from Tirupur Division to Newly formed Uthukuli Division-</t>
    </r>
    <r>
      <rPr>
        <b/>
        <sz val="13"/>
        <color theme="1"/>
        <rFont val="Tahoma"/>
        <family val="2"/>
      </rPr>
      <t>(E)</t>
    </r>
  </si>
  <si>
    <r>
      <t>Transferred  from  Erode EDC      (4 Nos Entire sections) to Newly formed Uthukuli Division)-</t>
    </r>
    <r>
      <rPr>
        <b/>
        <sz val="13"/>
        <color theme="1"/>
        <rFont val="Tahoma"/>
        <family val="2"/>
      </rPr>
      <t>(F)</t>
    </r>
  </si>
  <si>
    <r>
      <t>Transferred  from  Gobi EDC to Newly formed Uthukuli Division)-</t>
    </r>
    <r>
      <rPr>
        <b/>
        <sz val="13"/>
        <color theme="1"/>
        <rFont val="Tahoma"/>
        <family val="2"/>
      </rPr>
      <t>(G)</t>
    </r>
  </si>
  <si>
    <t>SUB TOTAL-Transferred to Newly formed Uthukuli Division- (D+E+F+G)</t>
  </si>
  <si>
    <t>To be formed Newly after Reformation</t>
  </si>
  <si>
    <t>Merged with kasipalayam Section and total of 7109 LT SCs,7 HT SCs &amp;90 DTs Transferred to Newly formed Uthukuli Division (937 LT Scs, 27 DT's of kasipalayam section merged with Mudhalipalayam section)</t>
  </si>
  <si>
    <t xml:space="preserve"> 156 LT SCs,4 DTs Transferred to  Gobi EDC &amp; 3600 LT SCs,72 DTs,2 HT Scs transfrred to Newly formed Thandukarampalayam Section.</t>
  </si>
  <si>
    <t>3600 LT SCs,72 DTs,2 HT Scs transfrred from South/Cheyur &amp; 3352 LT SCs,6 HT SCs and 82 DTs transferred from Pasur Section. and New Section formed as Thandukarampalayam.</t>
  </si>
  <si>
    <t>1800 LT SCs,44 DTs,4 HT Scs transferred to Newly formed Sundakkampalayam Section</t>
  </si>
  <si>
    <t>1800 LT SCs,44 DTS,4 HT Scs transferred from  Nambiyampalayam section &amp; 5400 LT SCs,60DTs Transfrred from Rural/West/Avinashi &amp; 950 LT SCs,11 DTs transferred from Karuvallur Section.</t>
  </si>
  <si>
    <t>4200 LT SCs,45 DTs,2 HT Scs trasferred from  R/Anuparapalayam and 3900 LT SCs,45 DTs,2 HT Scs transferred from R/E/Avinashi and New section formed as Rakkiyapalayam.</t>
  </si>
  <si>
    <t>3900 LT SCs,45 DTs,2 HT Scs transferred to newly formed Rakkiyapalayam Section</t>
  </si>
  <si>
    <t>4200 LT SCs,30 DTs,2 HT Scs trasferred to Rakiyampalayam &amp; 1791 LT SCs,20DTs transferred to samundipuram Section.</t>
  </si>
  <si>
    <t>6000 LT SCs,102 DTs,3 HT Scs transferred to  Newly Formed Palangarai Section</t>
  </si>
  <si>
    <t>33/11 KV PALANGARAI SS Attached with O&amp;M/Palangarai Section.6000 LT SCs,102 DTs,3 HT Scs transferred from T.M.POONDY section and New section formed.</t>
  </si>
  <si>
    <t>6877 LT SCs,98 DTs,3 HT scs transferred from South perumanallur Section,2100 LT SCs,30DTs,1 HT Sc Transferred from Pandiyan nagar and formed as New Ponguplayam section.</t>
  </si>
  <si>
    <t>6877 LT SCs,98 DTs,3 HT scs transferred to  Newly formed Pongupalayam Section and remaining South perumanllur Section with  11975 LT SCs,10 HT SCs &amp; 138 DTS transferred from Annuparapalaym Sub division to  Newly formed Perumanallur Sub Division.</t>
  </si>
  <si>
    <t>2100 LT SCs,30 DTs,1 HT Sc transferred to Newly formed Ponguplayam Section&amp;1300 LT SCs,15 DTs transferrd to Polluvapatty section &amp; 3900 LT SCs,15 DTs Transferred to Vengamedu Section. Pandiyan nagar section with  17652 LT SCs,6 HT SCs and 220 DTs transferred from Annuparapalaym Sub division to  Newly formed Perumanallur Sub Division.</t>
  </si>
  <si>
    <t>1918 LT Scs,6 HT SCs,32 DTS transferred to CBE North EDC.3352 LT SCs,6 HT SCs and 82 DTs,6 HT Scs transferred to Newly formed Thandukarampalayam Section.</t>
  </si>
  <si>
    <t>Tirupur EDC  (Existing)-(A)</t>
  </si>
  <si>
    <t>Transferred to other circle-(B)</t>
  </si>
  <si>
    <t>SUB TOTAL (A-B)</t>
  </si>
  <si>
    <t>Transferred  from CEDC/South     (5 Nos Entire Sections)</t>
  </si>
  <si>
    <t>Transferred  from  Gobi EDC       (4 Nos Partial sections)</t>
  </si>
  <si>
    <t>Transferred  from  Erode EDC      (4 Nos Entire sections)-(Entire sub division transferred to Newly formed Uthukuli Division)</t>
  </si>
  <si>
    <t>SUB TOTAL-RECEIVED FROM OTHER CIRCLE-                                               ( C )</t>
  </si>
  <si>
    <t>CIRCLE GRAND TOTAL-          (A-B)+( C )</t>
  </si>
  <si>
    <t xml:space="preserve">                                                                                                                          </t>
  </si>
  <si>
    <t>AEE/Bridgewaycolony 
(Upgraded section)</t>
  </si>
  <si>
    <t>AEE/Kongunagar         
(Upgraded section)</t>
  </si>
  <si>
    <t>AEE/Rayapuram       
(Upgraded section)</t>
  </si>
  <si>
    <t>AEE/Town West Trupur 
(Upgraded section)</t>
  </si>
  <si>
    <t>AEE/Town North Tirupur 
(Upgraded section)</t>
  </si>
  <si>
    <t>15+1
(EHT)</t>
  </si>
  <si>
    <t>Entire Section with 10534 LT SCs,3 HT SCs &amp; 141 DTs Transferred from Erode EDC and  1288 LT SCs,28 SCs transferred from added from West Nambiyur and 202 LT SCs transferred from Getticheviyur of GOBI EDC. 1865 LT SCs,21 DTs  Transferred to Rural Kunathur.664 LT SCs,13 DTs Transferred to East Kunathur.</t>
  </si>
  <si>
    <t xml:space="preserve">With existing 4148 LT SCs,92 DTs of  South pollikalipalayam,aditionally2735 LT SCs,50 DTs Transferred from  North/Pollikalipalayam </t>
  </si>
  <si>
    <t>Pandiyan nagar</t>
  </si>
  <si>
    <t>Polluvapatty</t>
  </si>
  <si>
    <t>Sub-Total-Avinashi Division</t>
  </si>
  <si>
    <t>Mudhalipalayam</t>
  </si>
  <si>
    <t>RVE NAGAR</t>
  </si>
  <si>
    <t>S.Periyapalayam</t>
  </si>
  <si>
    <t>Rural Uthukuli</t>
  </si>
  <si>
    <t>East/Uthukuli</t>
  </si>
  <si>
    <t>Town/Uthukuli</t>
  </si>
  <si>
    <t>Subtotal-Tirupur Division</t>
  </si>
  <si>
    <t>R/Kunathur</t>
  </si>
  <si>
    <t>E/Kunathur</t>
  </si>
  <si>
    <t>T/Kunathur</t>
  </si>
  <si>
    <t>west nambiyur</t>
  </si>
  <si>
    <t>Getticheviyur</t>
  </si>
  <si>
    <t>Subtotal-Erode EDC</t>
  </si>
  <si>
    <t>Subtotal-GOBI EDC</t>
  </si>
  <si>
    <t>ANNEXURE - III</t>
  </si>
  <si>
    <t xml:space="preserve">         ANNEXURE - V</t>
  </si>
  <si>
    <t>ANNEXURE-IV to (Per.) CMD TANGEDCO Proceedings No.49, (Adm. Branch), dated 22.07.2022.</t>
  </si>
  <si>
    <t>(S. BARATHI)
PERSONNEL OFFICER/ STAFF SANCTION (I/C)</t>
  </si>
  <si>
    <t>ANNEXURE - IV to (Per.) CMD TANGEDCO Proceedings No.49, (Adm. Branch), dated 22.07.2022.</t>
  </si>
  <si>
    <t>(S. BARATHI)
PERSONNEL OFFICER/ STAFF SANCTION (I/c)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</si>
</sst>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b/>
      <sz val="14"/>
      <color theme="1"/>
      <name val="Tahoma"/>
      <family val="2"/>
    </font>
    <font>
      <sz val="12"/>
      <color theme="1"/>
      <name val="Tahoma"/>
      <family val="2"/>
    </font>
    <font>
      <b/>
      <sz val="12"/>
      <color theme="1"/>
      <name val="Tahoma"/>
      <family val="2"/>
    </font>
    <font>
      <sz val="14"/>
      <color theme="1"/>
      <name val="Calibri"/>
      <family val="2"/>
      <scheme val="minor"/>
    </font>
    <font>
      <sz val="10"/>
      <name val="Arial"/>
      <family val="2"/>
    </font>
    <font>
      <sz val="12"/>
      <name val="Tahoma"/>
      <family val="2"/>
    </font>
    <font>
      <b/>
      <u/>
      <sz val="14"/>
      <color theme="1"/>
      <name val="Tahoma"/>
      <family val="2"/>
    </font>
    <font>
      <b/>
      <u/>
      <sz val="26"/>
      <color theme="1"/>
      <name val="Tahoma"/>
      <family val="2"/>
    </font>
    <font>
      <b/>
      <sz val="22"/>
      <color theme="1"/>
      <name val="Tahoma"/>
      <family val="2"/>
    </font>
    <font>
      <sz val="22"/>
      <color theme="1"/>
      <name val="Tahoma"/>
      <family val="2"/>
    </font>
    <font>
      <sz val="11"/>
      <color theme="1"/>
      <name val="Calibri"/>
      <family val="2"/>
      <scheme val="minor"/>
    </font>
    <font>
      <b/>
      <sz val="12"/>
      <name val="Tahoma"/>
      <family val="2"/>
    </font>
    <font>
      <b/>
      <sz val="13"/>
      <color theme="1"/>
      <name val="Calibri"/>
      <family val="2"/>
      <scheme val="minor"/>
    </font>
    <font>
      <sz val="12"/>
      <color theme="1"/>
      <name val="Calibri"/>
      <family val="2"/>
      <scheme val="minor"/>
    </font>
    <font>
      <sz val="14"/>
      <color theme="1"/>
      <name val="Century"/>
      <family val="1"/>
    </font>
    <font>
      <b/>
      <sz val="14"/>
      <color theme="1"/>
      <name val="Calibri"/>
      <family val="2"/>
      <scheme val="minor"/>
    </font>
    <font>
      <sz val="13"/>
      <color theme="1"/>
      <name val="Calibri"/>
      <family val="2"/>
      <scheme val="minor"/>
    </font>
    <font>
      <sz val="13"/>
      <name val="Tahoma"/>
      <family val="2"/>
    </font>
    <font>
      <b/>
      <sz val="13"/>
      <color theme="1"/>
      <name val="Cetuary"/>
    </font>
    <font>
      <sz val="13"/>
      <color theme="1"/>
      <name val="Tahoma"/>
      <family val="2"/>
    </font>
    <font>
      <sz val="13"/>
      <color theme="1"/>
      <name val="Centua"/>
    </font>
    <font>
      <b/>
      <sz val="13"/>
      <color theme="1"/>
      <name val="Tahoma"/>
      <family val="2"/>
    </font>
    <font>
      <b/>
      <sz val="20"/>
      <color theme="1"/>
      <name val="Tahoma"/>
      <family val="2"/>
    </font>
    <font>
      <b/>
      <u/>
      <sz val="13"/>
      <color theme="1"/>
      <name val="Tahoma"/>
      <family val="2"/>
    </font>
    <font>
      <sz val="72"/>
      <color theme="1"/>
      <name val="Algerian"/>
      <family val="5"/>
    </font>
    <font>
      <sz val="72"/>
      <color theme="1"/>
      <name val="Calibri"/>
      <family val="2"/>
      <scheme val="minor"/>
    </font>
    <font>
      <sz val="26"/>
      <color theme="1"/>
      <name val="Calibri"/>
      <family val="2"/>
      <scheme val="minor"/>
    </font>
    <font>
      <b/>
      <sz val="11"/>
      <color theme="1"/>
      <name val="Calibri"/>
      <family val="2"/>
      <scheme val="minor"/>
    </font>
    <font>
      <b/>
      <sz val="26"/>
      <color theme="1"/>
      <name val="Tahoma"/>
      <family val="2"/>
    </font>
    <font>
      <b/>
      <sz val="13"/>
      <color theme="1"/>
      <name val="Centua"/>
    </font>
    <font>
      <sz val="10"/>
      <name val="Tahoma"/>
      <family val="2"/>
    </font>
    <font>
      <b/>
      <sz val="10"/>
      <name val="Tahoma"/>
      <family val="2"/>
    </font>
    <font>
      <sz val="10"/>
      <color theme="1"/>
      <name val="Calibri"/>
      <family val="2"/>
      <scheme val="minor"/>
    </font>
    <font>
      <b/>
      <sz val="16"/>
      <color theme="1"/>
      <name val="Tahoma"/>
      <family val="2"/>
    </font>
    <font>
      <b/>
      <u/>
      <sz val="12"/>
      <color theme="1"/>
      <name val="Tahoma"/>
      <family val="2"/>
    </font>
    <font>
      <b/>
      <sz val="14"/>
      <name val="Tahoma"/>
      <family val="2"/>
    </font>
    <font>
      <b/>
      <sz val="18"/>
      <name val="Tahoma"/>
      <family val="2"/>
    </font>
    <font>
      <b/>
      <sz val="10"/>
      <color theme="1"/>
      <name val="Calibri"/>
      <family val="2"/>
      <scheme val="minor"/>
    </font>
    <font>
      <b/>
      <sz val="16"/>
      <color theme="1"/>
      <name val="Calibri"/>
      <family val="2"/>
      <scheme val="minor"/>
    </font>
    <font>
      <sz val="16"/>
      <color theme="1"/>
      <name val="Calibri"/>
      <family val="2"/>
      <scheme val="minor"/>
    </font>
    <font>
      <sz val="16"/>
      <name val="Tahoma"/>
      <family val="2"/>
    </font>
    <font>
      <b/>
      <u/>
      <sz val="28"/>
      <color theme="1"/>
      <name val="Tahoma"/>
      <family val="2"/>
    </font>
    <font>
      <b/>
      <sz val="28"/>
      <color theme="1"/>
      <name val="Tahoma"/>
      <family val="2"/>
    </font>
    <font>
      <b/>
      <sz val="11"/>
      <name val="Tahoma"/>
      <family val="2"/>
    </font>
    <font>
      <b/>
      <sz val="12"/>
      <color theme="1"/>
      <name val="Calibri"/>
      <family val="2"/>
      <scheme val="minor"/>
    </font>
    <font>
      <sz val="11"/>
      <name val="Tahoma"/>
      <family val="2"/>
    </font>
    <font>
      <b/>
      <sz val="11"/>
      <color theme="1"/>
      <name val="Tahoma"/>
      <family val="2"/>
    </font>
    <font>
      <b/>
      <u/>
      <sz val="11"/>
      <color theme="1"/>
      <name val="Tahoma"/>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xf numFmtId="0" fontId="11" fillId="0" borderId="0"/>
  </cellStyleXfs>
  <cellXfs count="344">
    <xf numFmtId="0" fontId="0" fillId="0" borderId="0" xfId="0"/>
    <xf numFmtId="0" fontId="0" fillId="0" borderId="0" xfId="0" applyAlignment="1">
      <alignment vertical="center" wrapText="1"/>
    </xf>
    <xf numFmtId="0" fontId="4" fillId="0" borderId="0" xfId="0" applyFont="1"/>
    <xf numFmtId="1"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0" fillId="3" borderId="0" xfId="0" applyFill="1" applyAlignment="1">
      <alignment vertical="center" wrapText="1"/>
    </xf>
    <xf numFmtId="0" fontId="8" fillId="0" borderId="0" xfId="0" applyFont="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0" xfId="0" applyAlignment="1">
      <alignment horizontal="center"/>
    </xf>
    <xf numFmtId="0" fontId="10" fillId="0" borderId="2" xfId="0" applyFont="1" applyFill="1" applyBorder="1" applyAlignment="1">
      <alignment vertical="center" wrapText="1"/>
    </xf>
    <xf numFmtId="0" fontId="9" fillId="0" borderId="3"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0" fillId="0" borderId="0" xfId="0" applyFill="1" applyAlignment="1">
      <alignment vertical="center" wrapText="1"/>
    </xf>
    <xf numFmtId="0" fontId="0" fillId="0" borderId="0" xfId="0" applyFill="1"/>
    <xf numFmtId="0" fontId="2" fillId="0" borderId="2" xfId="0" applyFont="1" applyFill="1" applyBorder="1" applyAlignment="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1"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3" fillId="0" borderId="7" xfId="0" applyFont="1" applyBorder="1" applyAlignment="1">
      <alignment horizontal="center" vertical="center"/>
    </xf>
    <xf numFmtId="1" fontId="2" fillId="0" borderId="2"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4" fillId="0" borderId="2" xfId="0" applyFont="1" applyBorder="1" applyAlignment="1">
      <alignment vertical="top" wrapText="1"/>
    </xf>
    <xf numFmtId="0" fontId="20"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22" fillId="0" borderId="2" xfId="0" applyFont="1" applyFill="1" applyBorder="1" applyAlignment="1">
      <alignment horizontal="righ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1" fontId="20" fillId="0" borderId="2"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9" xfId="0" applyFont="1" applyFill="1" applyBorder="1" applyAlignment="1">
      <alignment horizontal="center" vertical="center"/>
    </xf>
    <xf numFmtId="0" fontId="20" fillId="0" borderId="6" xfId="0" applyFont="1" applyFill="1" applyBorder="1" applyAlignment="1">
      <alignment horizontal="center" vertical="center" wrapText="1"/>
    </xf>
    <xf numFmtId="1"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1" fontId="22" fillId="0" borderId="2" xfId="0" applyNumberFormat="1" applyFont="1" applyFill="1" applyBorder="1" applyAlignment="1">
      <alignment horizontal="center" vertical="center"/>
    </xf>
    <xf numFmtId="0" fontId="2" fillId="0" borderId="8" xfId="0" applyFont="1" applyFill="1" applyBorder="1" applyAlignment="1">
      <alignment vertical="center" textRotation="90"/>
    </xf>
    <xf numFmtId="0" fontId="26" fillId="0" borderId="0" xfId="0" applyFont="1"/>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7"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14" fillId="0" borderId="2" xfId="0" applyFont="1" applyBorder="1" applyAlignment="1">
      <alignment horizontal="center" vertical="center"/>
    </xf>
    <xf numFmtId="0" fontId="13" fillId="0" borderId="2" xfId="0" applyFont="1" applyBorder="1" applyAlignment="1">
      <alignment horizontal="center" vertical="center"/>
    </xf>
    <xf numFmtId="0" fontId="10"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30" fillId="0" borderId="2" xfId="0" applyFont="1" applyFill="1" applyBorder="1" applyAlignment="1">
      <alignment horizontal="center" vertical="center" wrapText="1"/>
    </xf>
    <xf numFmtId="0" fontId="28" fillId="0" borderId="0" xfId="0" applyFont="1" applyAlignment="1">
      <alignment vertical="center" wrapText="1"/>
    </xf>
    <xf numFmtId="0" fontId="20" fillId="0" borderId="2" xfId="0" applyFont="1" applyFill="1" applyBorder="1" applyAlignment="1">
      <alignment horizontal="right" vertical="center" wrapText="1"/>
    </xf>
    <xf numFmtId="0" fontId="20" fillId="0" borderId="2" xfId="0" applyFont="1" applyFill="1" applyBorder="1" applyAlignment="1">
      <alignment horizontal="center" vertical="center"/>
    </xf>
    <xf numFmtId="0" fontId="31"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3" fillId="0" borderId="2" xfId="0" applyFont="1" applyBorder="1" applyAlignment="1">
      <alignment horizontal="center" vertical="center"/>
    </xf>
    <xf numFmtId="0" fontId="12" fillId="2"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0" borderId="7" xfId="0" applyFont="1" applyFill="1" applyBorder="1" applyAlignment="1">
      <alignment horizontal="center" vertical="center" textRotation="90"/>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textRotation="90" wrapText="1"/>
    </xf>
    <xf numFmtId="0" fontId="2" fillId="4" borderId="2" xfId="0" applyFont="1" applyFill="1" applyBorder="1" applyAlignment="1">
      <alignment horizontal="center" vertical="center" wrapText="1"/>
    </xf>
    <xf numFmtId="0" fontId="22" fillId="4" borderId="2" xfId="0" applyFont="1" applyFill="1" applyBorder="1" applyAlignment="1">
      <alignment vertical="center" wrapText="1"/>
    </xf>
    <xf numFmtId="0" fontId="22" fillId="4" borderId="2" xfId="0" applyFont="1" applyFill="1" applyBorder="1" applyAlignment="1">
      <alignment horizontal="center" vertical="center" wrapText="1"/>
    </xf>
    <xf numFmtId="0" fontId="22" fillId="4" borderId="2"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vertical="center" wrapText="1"/>
    </xf>
    <xf numFmtId="0" fontId="22" fillId="4" borderId="6" xfId="0" applyFont="1" applyFill="1" applyBorder="1" applyAlignment="1">
      <alignment horizontal="center" vertical="center" wrapText="1"/>
    </xf>
    <xf numFmtId="1" fontId="20" fillId="4" borderId="2" xfId="0" applyNumberFormat="1" applyFont="1" applyFill="1" applyBorder="1" applyAlignment="1">
      <alignment horizontal="center" vertical="center"/>
    </xf>
    <xf numFmtId="0" fontId="20" fillId="4" borderId="2" xfId="0" applyFont="1" applyFill="1" applyBorder="1" applyAlignment="1">
      <alignment horizontal="center" vertical="center"/>
    </xf>
    <xf numFmtId="0" fontId="20" fillId="5" borderId="2" xfId="0" applyFont="1" applyFill="1" applyBorder="1" applyAlignment="1">
      <alignment vertical="center" wrapText="1"/>
    </xf>
    <xf numFmtId="1" fontId="20" fillId="5" borderId="2" xfId="0" applyNumberFormat="1" applyFont="1" applyFill="1" applyBorder="1" applyAlignment="1">
      <alignment horizontal="center" vertical="center"/>
    </xf>
    <xf numFmtId="0" fontId="20" fillId="4" borderId="5" xfId="0" applyFont="1" applyFill="1" applyBorder="1" applyAlignment="1">
      <alignment vertical="center" wrapText="1"/>
    </xf>
    <xf numFmtId="0" fontId="3" fillId="5" borderId="2" xfId="0" applyFont="1" applyFill="1" applyBorder="1" applyAlignment="1">
      <alignment vertical="center" wrapText="1"/>
    </xf>
    <xf numFmtId="0" fontId="3" fillId="5" borderId="6" xfId="0" applyFont="1" applyFill="1" applyBorder="1" applyAlignment="1">
      <alignment horizontal="center" vertical="center" wrapText="1"/>
    </xf>
    <xf numFmtId="1" fontId="3" fillId="5" borderId="6"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31" fillId="5" borderId="2" xfId="0" applyFont="1" applyFill="1" applyBorder="1" applyAlignment="1">
      <alignment vertical="center" wrapText="1"/>
    </xf>
    <xf numFmtId="0" fontId="2" fillId="2"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9" fillId="0" borderId="2" xfId="0" applyFont="1" applyBorder="1" applyAlignment="1">
      <alignment vertical="top" wrapText="1"/>
    </xf>
    <xf numFmtId="0" fontId="39" fillId="0" borderId="2" xfId="0" applyFont="1" applyBorder="1" applyAlignment="1">
      <alignment horizontal="center" vertical="center"/>
    </xf>
    <xf numFmtId="0" fontId="40" fillId="0" borderId="2" xfId="0" applyFont="1" applyBorder="1" applyAlignment="1">
      <alignment horizontal="center" vertical="center"/>
    </xf>
    <xf numFmtId="0" fontId="41" fillId="2" borderId="2" xfId="0" applyFont="1" applyFill="1" applyBorder="1" applyAlignment="1">
      <alignment horizontal="center" vertical="center" wrapText="1"/>
    </xf>
    <xf numFmtId="0" fontId="38" fillId="0" borderId="2" xfId="0" applyFont="1" applyBorder="1" applyAlignment="1">
      <alignment horizontal="center" vertical="center"/>
    </xf>
    <xf numFmtId="0" fontId="39" fillId="0" borderId="0" xfId="0" applyFont="1" applyAlignment="1">
      <alignment horizontal="center"/>
    </xf>
    <xf numFmtId="0" fontId="6" fillId="2" borderId="0" xfId="0" applyFont="1" applyFill="1" applyBorder="1" applyAlignment="1">
      <alignment horizontal="center" vertical="center" textRotation="90" wrapText="1"/>
    </xf>
    <xf numFmtId="0" fontId="17" fillId="0" borderId="0" xfId="0" applyFont="1" applyBorder="1" applyAlignment="1">
      <alignment horizontal="center" vertical="center"/>
    </xf>
    <xf numFmtId="0" fontId="1" fillId="0" borderId="2" xfId="0" applyFont="1" applyFill="1" applyBorder="1" applyAlignment="1">
      <alignment horizontal="left" vertical="center" wrapText="1"/>
    </xf>
    <xf numFmtId="0" fontId="36" fillId="2" borderId="2" xfId="0" applyFont="1" applyFill="1" applyBorder="1" applyAlignment="1">
      <alignment horizontal="center" vertical="center" wrapText="1"/>
    </xf>
    <xf numFmtId="0" fontId="16" fillId="0" borderId="2" xfId="0" applyFont="1" applyBorder="1" applyAlignment="1">
      <alignment horizontal="center" vertical="center"/>
    </xf>
    <xf numFmtId="0" fontId="39" fillId="0" borderId="2" xfId="0" applyFont="1" applyBorder="1" applyAlignment="1">
      <alignment horizontal="center"/>
    </xf>
    <xf numFmtId="0" fontId="39" fillId="3" borderId="2" xfId="0" applyFont="1" applyFill="1" applyBorder="1" applyAlignment="1">
      <alignment horizontal="center"/>
    </xf>
    <xf numFmtId="0" fontId="0" fillId="0" borderId="2" xfId="0" applyBorder="1"/>
    <xf numFmtId="1" fontId="2" fillId="5" borderId="2" xfId="0" applyNumberFormat="1" applyFont="1" applyFill="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xf>
    <xf numFmtId="1" fontId="3"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39" fillId="2" borderId="2" xfId="0" applyFont="1" applyFill="1" applyBorder="1" applyAlignment="1">
      <alignment horizontal="center"/>
    </xf>
    <xf numFmtId="0" fontId="14" fillId="0" borderId="0" xfId="0" applyFont="1"/>
    <xf numFmtId="0" fontId="20" fillId="0"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 fillId="0" borderId="2" xfId="0" applyFont="1" applyBorder="1" applyAlignment="1">
      <alignment horizontal="left" wrapText="1"/>
    </xf>
    <xf numFmtId="0" fontId="6" fillId="2" borderId="2" xfId="0" applyFont="1" applyFill="1" applyBorder="1" applyAlignment="1">
      <alignment horizontal="center" wrapText="1"/>
    </xf>
    <xf numFmtId="0" fontId="2" fillId="0" borderId="2" xfId="0" applyFont="1" applyBorder="1" applyAlignment="1">
      <alignment horizontal="center"/>
    </xf>
    <xf numFmtId="0" fontId="6" fillId="2" borderId="2" xfId="0" applyFont="1" applyFill="1" applyBorder="1" applyAlignment="1">
      <alignment horizontal="center"/>
    </xf>
    <xf numFmtId="0" fontId="12" fillId="2" borderId="2" xfId="0" applyFont="1" applyFill="1" applyBorder="1" applyAlignment="1">
      <alignment horizontal="center" wrapText="1"/>
    </xf>
    <xf numFmtId="0" fontId="3" fillId="0" borderId="2" xfId="0" applyFont="1" applyBorder="1" applyAlignment="1">
      <alignment horizontal="left" wrapText="1"/>
    </xf>
    <xf numFmtId="0" fontId="14" fillId="0" borderId="2" xfId="0" applyFont="1" applyBorder="1" applyAlignment="1">
      <alignment horizontal="center"/>
    </xf>
    <xf numFmtId="0" fontId="14" fillId="2" borderId="2" xfId="0" applyFont="1" applyFill="1" applyBorder="1" applyAlignment="1">
      <alignment horizontal="center"/>
    </xf>
    <xf numFmtId="0" fontId="14" fillId="2" borderId="2" xfId="0" applyFont="1" applyFill="1" applyBorder="1" applyAlignment="1">
      <alignment horizontal="center" vertical="center"/>
    </xf>
    <xf numFmtId="0" fontId="2" fillId="2" borderId="2" xfId="0" applyFont="1" applyFill="1" applyBorder="1" applyAlignment="1">
      <alignment horizontal="left" wrapText="1"/>
    </xf>
    <xf numFmtId="0" fontId="2" fillId="2" borderId="2" xfId="0" applyFont="1" applyFill="1" applyBorder="1" applyAlignment="1">
      <alignment horizontal="center"/>
    </xf>
    <xf numFmtId="0" fontId="45" fillId="0" borderId="2" xfId="0" applyFont="1" applyBorder="1" applyAlignment="1">
      <alignment horizontal="center"/>
    </xf>
    <xf numFmtId="0" fontId="45" fillId="2" borderId="2" xfId="0" applyFont="1" applyFill="1" applyBorder="1" applyAlignment="1">
      <alignment horizontal="center"/>
    </xf>
    <xf numFmtId="0" fontId="6" fillId="2" borderId="7" xfId="0" applyFont="1" applyFill="1" applyBorder="1" applyAlignment="1">
      <alignment vertical="center" textRotation="90" wrapText="1"/>
    </xf>
    <xf numFmtId="0" fontId="2" fillId="0" borderId="7" xfId="0" applyFont="1" applyBorder="1" applyAlignment="1">
      <alignment horizontal="center" textRotation="90"/>
    </xf>
    <xf numFmtId="0" fontId="2" fillId="0" borderId="3" xfId="0" applyFont="1" applyBorder="1" applyAlignment="1">
      <alignment horizontal="left" wrapText="1"/>
    </xf>
    <xf numFmtId="0" fontId="2" fillId="0" borderId="9" xfId="0" applyFont="1" applyBorder="1" applyAlignment="1">
      <alignment horizontal="left" wrapText="1"/>
    </xf>
    <xf numFmtId="0" fontId="14" fillId="0" borderId="6" xfId="0" applyFont="1" applyBorder="1" applyAlignment="1">
      <alignment horizontal="center"/>
    </xf>
    <xf numFmtId="0" fontId="14" fillId="2" borderId="6" xfId="0" applyFont="1" applyFill="1" applyBorder="1" applyAlignment="1">
      <alignment horizontal="center"/>
    </xf>
    <xf numFmtId="0" fontId="2" fillId="0" borderId="6" xfId="0" applyFont="1" applyBorder="1" applyAlignment="1">
      <alignment horizontal="center"/>
    </xf>
    <xf numFmtId="0" fontId="6" fillId="2" borderId="6" xfId="0" applyFont="1" applyFill="1" applyBorder="1" applyAlignment="1">
      <alignment horizontal="center" wrapText="1"/>
    </xf>
    <xf numFmtId="0" fontId="2" fillId="0" borderId="21" xfId="0" applyFont="1" applyBorder="1" applyAlignment="1">
      <alignment horizontal="left" wrapText="1"/>
    </xf>
    <xf numFmtId="0" fontId="14" fillId="0" borderId="22" xfId="0" applyFont="1" applyBorder="1" applyAlignment="1">
      <alignment horizontal="center"/>
    </xf>
    <xf numFmtId="0" fontId="14" fillId="2" borderId="22" xfId="0" applyFont="1" applyFill="1" applyBorder="1" applyAlignment="1">
      <alignment horizontal="center"/>
    </xf>
    <xf numFmtId="0" fontId="2" fillId="0" borderId="22" xfId="0" applyFont="1" applyBorder="1" applyAlignment="1">
      <alignment horizontal="center"/>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2" fillId="0" borderId="24" xfId="0" applyFont="1" applyBorder="1" applyAlignment="1">
      <alignment horizontal="left" wrapText="1"/>
    </xf>
    <xf numFmtId="0" fontId="6" fillId="2" borderId="25" xfId="0" applyFont="1" applyFill="1" applyBorder="1" applyAlignment="1">
      <alignment horizontal="center" wrapText="1"/>
    </xf>
    <xf numFmtId="0" fontId="2" fillId="0" borderId="8" xfId="0" applyFont="1" applyBorder="1" applyAlignment="1">
      <alignment horizontal="center" textRotation="90"/>
    </xf>
    <xf numFmtId="0" fontId="14" fillId="0" borderId="19" xfId="0" applyFont="1" applyBorder="1" applyAlignment="1"/>
    <xf numFmtId="0" fontId="3" fillId="0" borderId="26" xfId="0" applyFont="1" applyBorder="1" applyAlignment="1">
      <alignment horizontal="left" wrapText="1"/>
    </xf>
    <xf numFmtId="0" fontId="45" fillId="0" borderId="27" xfId="0" applyFont="1" applyBorder="1" applyAlignment="1">
      <alignment horizontal="center"/>
    </xf>
    <xf numFmtId="0" fontId="45" fillId="2" borderId="27" xfId="0" applyFont="1" applyFill="1" applyBorder="1" applyAlignment="1">
      <alignment horizontal="center"/>
    </xf>
    <xf numFmtId="0" fontId="45" fillId="0" borderId="28" xfId="0" applyFont="1" applyBorder="1" applyAlignment="1">
      <alignment horizontal="center"/>
    </xf>
    <xf numFmtId="0" fontId="45" fillId="5" borderId="8" xfId="0" applyFont="1" applyFill="1" applyBorder="1" applyAlignment="1">
      <alignment horizontal="center"/>
    </xf>
    <xf numFmtId="0" fontId="14" fillId="0" borderId="2" xfId="0" applyFont="1" applyBorder="1" applyAlignment="1">
      <alignment horizontal="left" wrapText="1"/>
    </xf>
    <xf numFmtId="0" fontId="14" fillId="2" borderId="2" xfId="0" applyFont="1" applyFill="1" applyBorder="1" applyAlignment="1">
      <alignment horizontal="left" wrapText="1"/>
    </xf>
    <xf numFmtId="0" fontId="45" fillId="0" borderId="2" xfId="0" applyFont="1" applyBorder="1" applyAlignment="1">
      <alignment horizontal="left" wrapText="1"/>
    </xf>
    <xf numFmtId="0" fontId="2" fillId="2" borderId="2" xfId="0" applyFont="1" applyFill="1" applyBorder="1" applyAlignment="1">
      <alignment horizontal="center" wrapText="1"/>
    </xf>
    <xf numFmtId="0" fontId="2" fillId="0" borderId="2" xfId="0" applyFont="1" applyBorder="1" applyAlignment="1">
      <alignment horizontal="center" wrapText="1"/>
    </xf>
    <xf numFmtId="0" fontId="45" fillId="5" borderId="2" xfId="0" applyFont="1" applyFill="1" applyBorder="1" applyAlignment="1">
      <alignment horizontal="center"/>
    </xf>
    <xf numFmtId="0" fontId="6" fillId="2" borderId="0" xfId="0" applyFont="1" applyFill="1" applyAlignment="1">
      <alignment horizontal="center" vertical="center" textRotation="90" wrapText="1"/>
    </xf>
    <xf numFmtId="0" fontId="3" fillId="0" borderId="2" xfId="0" applyFont="1" applyBorder="1" applyAlignment="1">
      <alignment horizontal="center"/>
    </xf>
    <xf numFmtId="0" fontId="14" fillId="2" borderId="0" xfId="0" applyFont="1" applyFill="1" applyAlignment="1">
      <alignment horizontal="center" vertical="center"/>
    </xf>
    <xf numFmtId="0" fontId="14" fillId="2" borderId="0" xfId="0" applyFont="1" applyFill="1"/>
    <xf numFmtId="0" fontId="3" fillId="0" borderId="2" xfId="0" applyFont="1" applyBorder="1" applyAlignment="1">
      <alignment horizontal="center" wrapText="1"/>
    </xf>
    <xf numFmtId="0" fontId="3" fillId="2" borderId="2" xfId="0" applyFont="1" applyFill="1" applyBorder="1" applyAlignment="1">
      <alignment horizontal="center" wrapText="1"/>
    </xf>
    <xf numFmtId="0" fontId="6" fillId="2" borderId="8" xfId="0" applyFont="1" applyFill="1" applyBorder="1" applyAlignment="1">
      <alignment vertical="center" textRotation="90" wrapText="1"/>
    </xf>
    <xf numFmtId="0" fontId="14" fillId="0" borderId="0" xfId="0" applyFont="1" applyAlignment="1">
      <alignment horizontal="center"/>
    </xf>
    <xf numFmtId="0" fontId="14" fillId="0" borderId="0" xfId="0" applyFont="1" applyAlignment="1">
      <alignment horizontal="left"/>
    </xf>
    <xf numFmtId="0" fontId="14" fillId="2" borderId="0" xfId="0" applyFont="1" applyFill="1" applyAlignment="1">
      <alignment horizontal="center"/>
    </xf>
    <xf numFmtId="0" fontId="44" fillId="5" borderId="2" xfId="0" applyFont="1" applyFill="1" applyBorder="1" applyAlignment="1">
      <alignment horizontal="left" vertical="center" wrapText="1"/>
    </xf>
    <xf numFmtId="0" fontId="46" fillId="5" borderId="2" xfId="0" applyFont="1" applyFill="1" applyBorder="1" applyAlignment="1">
      <alignment horizontal="left" vertical="center" wrapText="1"/>
    </xf>
    <xf numFmtId="0" fontId="46" fillId="2" borderId="2" xfId="0" applyFont="1" applyFill="1" applyBorder="1" applyAlignment="1">
      <alignment horizontal="left" wrapText="1"/>
    </xf>
    <xf numFmtId="0" fontId="44" fillId="2" borderId="2" xfId="0" applyFont="1" applyFill="1" applyBorder="1" applyAlignment="1">
      <alignment horizontal="left" wrapText="1"/>
    </xf>
    <xf numFmtId="0" fontId="44" fillId="2" borderId="5" xfId="0" applyFont="1" applyFill="1" applyBorder="1" applyAlignment="1">
      <alignment horizontal="left" wrapText="1"/>
    </xf>
    <xf numFmtId="0" fontId="0" fillId="0" borderId="0" xfId="0" applyFont="1" applyAlignment="1">
      <alignment horizontal="left"/>
    </xf>
    <xf numFmtId="0" fontId="0" fillId="0" borderId="2" xfId="0" applyFont="1" applyBorder="1" applyAlignment="1">
      <alignment horizontal="left"/>
    </xf>
    <xf numFmtId="0" fontId="32" fillId="2" borderId="5" xfId="0" applyFont="1" applyFill="1" applyBorder="1" applyAlignment="1">
      <alignment horizontal="left" wrapText="1"/>
    </xf>
    <xf numFmtId="0" fontId="32" fillId="2" borderId="2" xfId="0" applyFont="1" applyFill="1" applyBorder="1" applyAlignment="1">
      <alignment horizontal="left" wrapText="1"/>
    </xf>
    <xf numFmtId="0" fontId="45" fillId="2" borderId="2" xfId="0" applyFont="1" applyFill="1" applyBorder="1" applyAlignment="1">
      <alignment horizontal="left" wrapText="1"/>
    </xf>
    <xf numFmtId="0" fontId="3" fillId="2" borderId="2" xfId="0" applyFont="1" applyFill="1" applyBorder="1" applyAlignment="1">
      <alignment horizontal="left" wrapText="1"/>
    </xf>
    <xf numFmtId="1" fontId="22" fillId="0" borderId="2" xfId="0" applyNumberFormat="1" applyFont="1" applyFill="1" applyBorder="1" applyAlignment="1">
      <alignment horizontal="center" vertical="center" wrapText="1"/>
    </xf>
    <xf numFmtId="1" fontId="22" fillId="4" borderId="2" xfId="0" applyNumberFormat="1" applyFont="1" applyFill="1" applyBorder="1" applyAlignment="1">
      <alignment horizontal="center" vertical="center" wrapText="1"/>
    </xf>
    <xf numFmtId="0" fontId="34" fillId="0" borderId="0" xfId="0" applyFont="1"/>
    <xf numFmtId="0" fontId="34" fillId="0" borderId="0" xfId="0" applyFont="1" applyAlignment="1">
      <alignment horizontal="center"/>
    </xf>
    <xf numFmtId="0" fontId="42" fillId="0" borderId="2" xfId="0" applyFont="1" applyBorder="1" applyAlignment="1">
      <alignment vertical="center"/>
    </xf>
    <xf numFmtId="0" fontId="29" fillId="0" borderId="2" xfId="0" applyFont="1" applyBorder="1" applyAlignment="1">
      <alignment horizontal="center" vertical="center"/>
    </xf>
    <xf numFmtId="0" fontId="8" fillId="0" borderId="2" xfId="0" applyFont="1" applyBorder="1" applyAlignment="1">
      <alignment horizontal="center" vertical="center"/>
    </xf>
    <xf numFmtId="0" fontId="27" fillId="0" borderId="1" xfId="0" applyFont="1" applyBorder="1" applyAlignment="1">
      <alignment horizontal="center"/>
    </xf>
    <xf numFmtId="0" fontId="3" fillId="0" borderId="1" xfId="0" applyFont="1" applyBorder="1" applyAlignment="1">
      <alignment horizontal="center" vertical="center"/>
    </xf>
    <xf numFmtId="0" fontId="35" fillId="0" borderId="1" xfId="0" applyFont="1" applyBorder="1" applyAlignment="1">
      <alignment horizontal="center" vertical="center"/>
    </xf>
    <xf numFmtId="0" fontId="45" fillId="0" borderId="0" xfId="0" applyFont="1" applyAlignment="1">
      <alignment horizontal="center"/>
    </xf>
    <xf numFmtId="0" fontId="45" fillId="0" borderId="0" xfId="0" applyFont="1" applyAlignment="1">
      <alignment horizontal="center" wrapText="1"/>
    </xf>
    <xf numFmtId="0" fontId="1" fillId="0" borderId="2" xfId="0" applyFont="1" applyBorder="1" applyAlignment="1">
      <alignment horizontal="center" vertical="center"/>
    </xf>
    <xf numFmtId="0" fontId="7" fillId="0" borderId="2" xfId="0" applyFont="1" applyBorder="1" applyAlignment="1">
      <alignment horizontal="center" vertical="center"/>
    </xf>
    <xf numFmtId="0" fontId="28" fillId="0" borderId="0" xfId="0" applyFont="1" applyAlignment="1">
      <alignment horizontal="center" wrapText="1"/>
    </xf>
    <xf numFmtId="0" fontId="28" fillId="0" borderId="0" xfId="0" applyFont="1" applyAlignment="1">
      <alignment horizontal="center"/>
    </xf>
    <xf numFmtId="0" fontId="3" fillId="0" borderId="0" xfId="0" applyFont="1" applyAlignment="1">
      <alignment horizontal="center"/>
    </xf>
    <xf numFmtId="0" fontId="20" fillId="5"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2" fillId="0" borderId="3" xfId="0" applyFont="1" applyFill="1" applyBorder="1" applyAlignment="1">
      <alignment horizontal="right" vertical="center"/>
    </xf>
    <xf numFmtId="0" fontId="22" fillId="0" borderId="4" xfId="0" applyFont="1" applyFill="1" applyBorder="1" applyAlignment="1">
      <alignment horizontal="right" vertical="center"/>
    </xf>
    <xf numFmtId="0" fontId="22" fillId="0" borderId="5" xfId="0" applyFont="1" applyFill="1" applyBorder="1" applyAlignment="1">
      <alignment horizontal="right" vertical="center"/>
    </xf>
    <xf numFmtId="0" fontId="35" fillId="0" borderId="0" xfId="0" applyFont="1" applyFill="1" applyBorder="1" applyAlignment="1">
      <alignment horizontal="center" vertical="center"/>
    </xf>
    <xf numFmtId="0" fontId="3" fillId="4"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24"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47"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3" fillId="5" borderId="3" xfId="0" applyFont="1" applyFill="1" applyBorder="1" applyAlignment="1">
      <alignment horizontal="right" vertical="center"/>
    </xf>
    <xf numFmtId="0" fontId="3" fillId="5" borderId="4" xfId="0" applyFont="1" applyFill="1" applyBorder="1" applyAlignment="1">
      <alignment horizontal="right" vertical="center"/>
    </xf>
    <xf numFmtId="0" fontId="3" fillId="5" borderId="5" xfId="0" applyFont="1" applyFill="1" applyBorder="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5"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8" fillId="0" borderId="0" xfId="0" applyFont="1" applyFill="1" applyBorder="1" applyAlignment="1">
      <alignment horizontal="center" vertical="center"/>
    </xf>
    <xf numFmtId="0" fontId="2" fillId="0" borderId="6" xfId="0" applyFont="1" applyFill="1" applyBorder="1" applyAlignment="1">
      <alignment horizontal="center" vertical="center" wrapText="1"/>
    </xf>
    <xf numFmtId="0" fontId="3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Fill="1" applyBorder="1" applyAlignment="1">
      <alignment horizontal="center" vertical="center"/>
    </xf>
    <xf numFmtId="0" fontId="45" fillId="0" borderId="7" xfId="0" applyFont="1" applyBorder="1" applyAlignment="1">
      <alignment horizontal="center" vertical="center" textRotation="90" wrapText="1"/>
    </xf>
    <xf numFmtId="0" fontId="45" fillId="0" borderId="8" xfId="0" applyFont="1" applyBorder="1" applyAlignment="1">
      <alignment horizontal="center" vertical="center" textRotation="90" wrapText="1"/>
    </xf>
    <xf numFmtId="0" fontId="3" fillId="5" borderId="6" xfId="0" applyFont="1" applyFill="1" applyBorder="1" applyAlignment="1">
      <alignment horizontal="center"/>
    </xf>
    <xf numFmtId="0" fontId="3" fillId="0" borderId="2" xfId="0" applyFont="1" applyBorder="1" applyAlignment="1">
      <alignment horizontal="center" wrapText="1"/>
    </xf>
    <xf numFmtId="0" fontId="3" fillId="0" borderId="6" xfId="0" applyFont="1" applyBorder="1" applyAlignment="1">
      <alignment horizontal="center" vertical="center" textRotation="90"/>
    </xf>
    <xf numFmtId="0" fontId="3" fillId="0" borderId="7" xfId="0" applyFont="1" applyBorder="1" applyAlignment="1">
      <alignment horizontal="center" vertical="center" textRotation="90"/>
    </xf>
    <xf numFmtId="0" fontId="45" fillId="0" borderId="9" xfId="0" applyFont="1" applyBorder="1" applyAlignment="1">
      <alignment horizontal="center" vertical="center" textRotation="90" wrapText="1"/>
    </xf>
    <xf numFmtId="0" fontId="45" fillId="0" borderId="18" xfId="0" applyFont="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45" fillId="0" borderId="6" xfId="0" applyFont="1" applyBorder="1" applyAlignment="1">
      <alignment horizontal="center" vertical="center" textRotation="90" wrapText="1"/>
    </xf>
    <xf numFmtId="0" fontId="3" fillId="5"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6" fillId="2" borderId="6" xfId="0" applyFont="1" applyFill="1" applyBorder="1" applyAlignment="1">
      <alignment horizontal="center" vertical="center" textRotation="90" wrapText="1"/>
    </xf>
    <xf numFmtId="0" fontId="3" fillId="0" borderId="8" xfId="0" applyFont="1" applyBorder="1" applyAlignment="1">
      <alignment horizontal="center" vertical="center" textRotation="90"/>
    </xf>
    <xf numFmtId="0" fontId="2" fillId="0" borderId="7" xfId="0" applyFont="1" applyBorder="1" applyAlignment="1">
      <alignment horizontal="center" textRotation="90"/>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20" xfId="0" applyFont="1" applyFill="1" applyBorder="1" applyAlignment="1">
      <alignment horizontal="center"/>
    </xf>
    <xf numFmtId="0" fontId="2" fillId="0" borderId="6" xfId="0" applyFont="1" applyBorder="1" applyAlignment="1">
      <alignment horizontal="center" vertical="center" textRotation="90"/>
    </xf>
    <xf numFmtId="0" fontId="2" fillId="0" borderId="7" xfId="0" applyFont="1" applyBorder="1" applyAlignment="1">
      <alignment horizontal="center" vertical="center" textRotation="90"/>
    </xf>
    <xf numFmtId="0" fontId="3" fillId="0" borderId="6"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3" fillId="2" borderId="8" xfId="0" applyFont="1" applyFill="1" applyBorder="1" applyAlignment="1">
      <alignment horizontal="center" vertical="center" textRotation="90" wrapText="1"/>
    </xf>
    <xf numFmtId="0" fontId="36" fillId="2" borderId="3" xfId="0" applyFont="1" applyFill="1" applyBorder="1" applyAlignment="1">
      <alignment horizontal="center" vertical="center" wrapText="1"/>
    </xf>
    <xf numFmtId="0" fontId="0" fillId="0" borderId="4" xfId="0" applyBorder="1"/>
    <xf numFmtId="0" fontId="0" fillId="0" borderId="5" xfId="0" applyBorder="1"/>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2" fillId="5" borderId="2" xfId="0" applyFont="1" applyFill="1" applyBorder="1" applyAlignment="1">
      <alignment horizontal="center" vertical="center" wrapText="1"/>
    </xf>
    <xf numFmtId="0" fontId="12" fillId="2" borderId="2" xfId="0" applyFont="1" applyFill="1" applyBorder="1" applyAlignment="1">
      <alignment wrapText="1"/>
    </xf>
    <xf numFmtId="0" fontId="15" fillId="0" borderId="0" xfId="0" applyFont="1" applyAlignment="1">
      <alignment horizontal="right"/>
    </xf>
    <xf numFmtId="0" fontId="8" fillId="0" borderId="1" xfId="0" applyFont="1" applyBorder="1" applyAlignment="1">
      <alignment horizontal="center" vertical="center"/>
    </xf>
    <xf numFmtId="0" fontId="2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 fillId="0" borderId="1" xfId="0" applyFont="1" applyBorder="1" applyAlignment="1">
      <alignment horizontal="center" vertical="center"/>
    </xf>
    <xf numFmtId="0" fontId="19" fillId="0" borderId="0" xfId="0" applyFont="1" applyAlignment="1">
      <alignment horizontal="right"/>
    </xf>
    <xf numFmtId="0" fontId="34" fillId="0" borderId="6" xfId="0" applyFont="1" applyFill="1" applyBorder="1" applyAlignment="1">
      <alignment horizontal="center" vertical="center"/>
    </xf>
    <xf numFmtId="0" fontId="34" fillId="0" borderId="2" xfId="0" applyFont="1" applyFill="1" applyBorder="1" applyAlignment="1">
      <alignment horizontal="center" vertical="center" wrapText="1"/>
    </xf>
    <xf numFmtId="0" fontId="3" fillId="0" borderId="6"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0" fontId="3" fillId="0" borderId="8" xfId="0" applyFont="1" applyFill="1" applyBorder="1" applyAlignment="1">
      <alignment horizontal="center" vertical="center" textRotation="90"/>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6" fillId="2" borderId="2" xfId="0" applyFont="1" applyFill="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8" xfId="0" applyFont="1" applyBorder="1" applyAlignment="1">
      <alignment horizontal="center" vertical="center" textRotation="90"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12" fillId="5" borderId="2" xfId="0" applyFont="1" applyFill="1" applyBorder="1" applyAlignment="1">
      <alignment wrapText="1"/>
    </xf>
    <xf numFmtId="0" fontId="2" fillId="0" borderId="6" xfId="0" applyFont="1" applyFill="1" applyBorder="1" applyAlignment="1">
      <alignment horizontal="center" vertical="center" textRotation="90"/>
    </xf>
    <xf numFmtId="0" fontId="2" fillId="0" borderId="7" xfId="0" applyFont="1" applyFill="1" applyBorder="1" applyAlignment="1">
      <alignment horizontal="center" vertical="center" textRotation="90"/>
    </xf>
    <xf numFmtId="0" fontId="3" fillId="0" borderId="6" xfId="0" applyFont="1" applyFill="1" applyBorder="1" applyAlignment="1">
      <alignment horizontal="center" vertical="center" textRotation="90" wrapText="1"/>
    </xf>
    <xf numFmtId="0" fontId="3" fillId="0" borderId="7"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view="pageBreakPreview" zoomScale="70" zoomScaleSheetLayoutView="70" workbookViewId="0">
      <selection activeCell="E4" sqref="E4"/>
    </sheetView>
  </sheetViews>
  <sheetFormatPr defaultRowHeight="30" customHeight="1" x14ac:dyDescent="0.2"/>
  <cols>
    <col min="1" max="1" width="11.8359375" customWidth="1"/>
    <col min="2" max="2" width="42.23828125" customWidth="1"/>
    <col min="3" max="4" width="26.90234375" customWidth="1"/>
    <col min="5" max="5" width="42.23828125" customWidth="1"/>
    <col min="6" max="6" width="26.6328125" hidden="1" customWidth="1"/>
    <col min="7" max="7" width="34.16796875" hidden="1" customWidth="1"/>
  </cols>
  <sheetData>
    <row r="1" spans="1:7" ht="44.45" customHeight="1" x14ac:dyDescent="0.2">
      <c r="A1" s="199" t="s">
        <v>309</v>
      </c>
      <c r="B1" s="199"/>
      <c r="C1" s="199"/>
      <c r="D1" s="199"/>
      <c r="E1" s="199"/>
    </row>
    <row r="2" spans="1:7" ht="51" customHeight="1" x14ac:dyDescent="0.45">
      <c r="A2" s="200" t="s">
        <v>36</v>
      </c>
      <c r="B2" s="201"/>
      <c r="C2" s="201"/>
      <c r="D2" s="201"/>
      <c r="E2" s="201"/>
      <c r="F2" s="202" t="s">
        <v>127</v>
      </c>
      <c r="G2" s="202"/>
    </row>
    <row r="3" spans="1:7" ht="183" customHeight="1" x14ac:dyDescent="0.3">
      <c r="A3" s="124" t="s">
        <v>17</v>
      </c>
      <c r="B3" s="124" t="s">
        <v>18</v>
      </c>
      <c r="C3" s="124" t="s">
        <v>27</v>
      </c>
      <c r="D3" s="124" t="s">
        <v>28</v>
      </c>
      <c r="E3" s="124" t="s">
        <v>29</v>
      </c>
      <c r="F3" s="69" t="s">
        <v>40</v>
      </c>
      <c r="G3" s="10" t="s">
        <v>41</v>
      </c>
    </row>
    <row r="4" spans="1:7" ht="72.75" customHeight="1" x14ac:dyDescent="0.2">
      <c r="A4" s="65">
        <v>1</v>
      </c>
      <c r="B4" s="16" t="s">
        <v>191</v>
      </c>
      <c r="C4" s="65">
        <v>618064</v>
      </c>
      <c r="D4" s="65">
        <v>9267</v>
      </c>
      <c r="E4" s="65">
        <v>37</v>
      </c>
      <c r="F4" s="70">
        <f>'Annexure-V'!E34</f>
        <v>247605</v>
      </c>
      <c r="G4" s="65">
        <f>'Annexure-V'!F34</f>
        <v>151</v>
      </c>
    </row>
  </sheetData>
  <mergeCells count="3">
    <mergeCell ref="A1:E1"/>
    <mergeCell ref="A2:E2"/>
    <mergeCell ref="F2:G2"/>
  </mergeCells>
  <pageMargins left="1.45" right="0.23" top="0.75" bottom="0.75" header="0.3" footer="0.3"/>
  <pageSetup paperSize="9" scale="80" orientation="landscape" r:id="rId1"/>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92"/>
  <sheetViews>
    <sheetView view="pageBreakPreview" topLeftCell="A85" zoomScale="90" zoomScaleSheetLayoutView="90" workbookViewId="0">
      <selection activeCell="I98" sqref="I98"/>
    </sheetView>
  </sheetViews>
  <sheetFormatPr defaultRowHeight="15" x14ac:dyDescent="0.2"/>
  <cols>
    <col min="1" max="1" width="7.80078125" customWidth="1"/>
    <col min="2" max="2" width="7.53125" customWidth="1"/>
    <col min="3" max="3" width="10.0859375" customWidth="1"/>
    <col min="4" max="4" width="31.74609375" customWidth="1"/>
    <col min="5" max="5" width="11.703125" style="15" bestFit="1" customWidth="1"/>
    <col min="6" max="7" width="9.55078125" style="15" bestFit="1" customWidth="1"/>
    <col min="8" max="8" width="11.703125" style="15" bestFit="1" customWidth="1"/>
    <col min="9" max="9" width="5.51171875" style="15" customWidth="1"/>
    <col min="10" max="10" width="7.93359375" style="15" customWidth="1"/>
    <col min="11" max="11" width="43.71875" customWidth="1"/>
    <col min="12" max="12" width="6.1875" customWidth="1"/>
    <col min="13" max="14" width="5.24609375" customWidth="1"/>
    <col min="15" max="15" width="6.9921875" customWidth="1"/>
    <col min="16" max="16" width="4.83984375" customWidth="1"/>
    <col min="17" max="17" width="4.4375" customWidth="1"/>
    <col min="18" max="18" width="7.12890625" customWidth="1"/>
    <col min="19" max="19" width="4.4375" customWidth="1"/>
    <col min="20" max="20" width="5.24609375" customWidth="1"/>
  </cols>
  <sheetData>
    <row r="1" spans="1:20" ht="26.45" customHeight="1" x14ac:dyDescent="0.2">
      <c r="A1" s="330" t="s">
        <v>191</v>
      </c>
      <c r="B1" s="331"/>
      <c r="C1" s="331"/>
      <c r="D1" s="331"/>
      <c r="E1" s="331"/>
      <c r="F1" s="331"/>
      <c r="G1" s="331"/>
      <c r="H1" s="331"/>
      <c r="I1" s="331"/>
      <c r="J1" s="331"/>
      <c r="K1" s="331"/>
      <c r="L1" s="331"/>
      <c r="M1" s="331"/>
      <c r="N1" s="331"/>
      <c r="O1" s="331"/>
      <c r="P1" s="331"/>
      <c r="Q1" s="331"/>
      <c r="R1" s="331"/>
      <c r="S1" s="331"/>
      <c r="T1" s="332"/>
    </row>
    <row r="2" spans="1:20" ht="35.25" customHeight="1" x14ac:dyDescent="0.2">
      <c r="A2" s="288" t="s">
        <v>215</v>
      </c>
      <c r="B2" s="333"/>
      <c r="C2" s="333"/>
      <c r="D2" s="333"/>
      <c r="E2" s="333"/>
      <c r="F2" s="333"/>
      <c r="G2" s="333"/>
      <c r="H2" s="333"/>
      <c r="I2" s="333"/>
      <c r="J2" s="333"/>
      <c r="K2" s="333"/>
      <c r="L2" s="333"/>
      <c r="M2" s="333"/>
      <c r="N2" s="333"/>
      <c r="O2" s="333"/>
      <c r="P2" s="333"/>
      <c r="Q2" s="333"/>
      <c r="R2" s="333"/>
      <c r="S2" s="333"/>
      <c r="T2" s="334"/>
    </row>
    <row r="3" spans="1:20" ht="60" customHeight="1" x14ac:dyDescent="0.2">
      <c r="A3" s="294" t="s">
        <v>30</v>
      </c>
      <c r="B3" s="294" t="s">
        <v>19</v>
      </c>
      <c r="C3" s="294" t="s">
        <v>31</v>
      </c>
      <c r="D3" s="297" t="s">
        <v>21</v>
      </c>
      <c r="E3" s="297" t="s">
        <v>32</v>
      </c>
      <c r="F3" s="297"/>
      <c r="G3" s="297"/>
      <c r="H3" s="297" t="s">
        <v>33</v>
      </c>
      <c r="I3" s="297"/>
      <c r="J3" s="297"/>
      <c r="K3" s="101" t="s">
        <v>34</v>
      </c>
      <c r="L3" s="324" t="s">
        <v>174</v>
      </c>
      <c r="M3" s="324"/>
      <c r="N3" s="324"/>
      <c r="O3" s="324" t="s">
        <v>175</v>
      </c>
      <c r="P3" s="324"/>
      <c r="Q3" s="324"/>
      <c r="R3" s="324" t="s">
        <v>176</v>
      </c>
      <c r="S3" s="324"/>
      <c r="T3" s="324"/>
    </row>
    <row r="4" spans="1:20" ht="22.5" customHeight="1" x14ac:dyDescent="0.2">
      <c r="A4" s="295"/>
      <c r="B4" s="295"/>
      <c r="C4" s="295"/>
      <c r="D4" s="297"/>
      <c r="E4" s="101" t="s">
        <v>23</v>
      </c>
      <c r="F4" s="101" t="s">
        <v>24</v>
      </c>
      <c r="G4" s="101" t="s">
        <v>25</v>
      </c>
      <c r="H4" s="101" t="s">
        <v>23</v>
      </c>
      <c r="I4" s="101" t="s">
        <v>24</v>
      </c>
      <c r="J4" s="101" t="s">
        <v>25</v>
      </c>
      <c r="K4" s="102"/>
      <c r="L4" s="101" t="s">
        <v>23</v>
      </c>
      <c r="M4" s="101" t="s">
        <v>24</v>
      </c>
      <c r="N4" s="101" t="s">
        <v>25</v>
      </c>
      <c r="O4" s="101" t="s">
        <v>23</v>
      </c>
      <c r="P4" s="101" t="s">
        <v>24</v>
      </c>
      <c r="Q4" s="101" t="s">
        <v>25</v>
      </c>
      <c r="R4" s="101" t="s">
        <v>23</v>
      </c>
      <c r="S4" s="101" t="s">
        <v>24</v>
      </c>
      <c r="T4" s="101" t="s">
        <v>25</v>
      </c>
    </row>
    <row r="5" spans="1:20" ht="28.5" customHeight="1" x14ac:dyDescent="0.2">
      <c r="A5" s="274" t="s">
        <v>128</v>
      </c>
      <c r="B5" s="325" t="s">
        <v>129</v>
      </c>
      <c r="C5" s="327" t="s">
        <v>46</v>
      </c>
      <c r="D5" s="13" t="s">
        <v>47</v>
      </c>
      <c r="E5" s="9">
        <v>16558</v>
      </c>
      <c r="F5" s="9">
        <v>2</v>
      </c>
      <c r="G5" s="4">
        <v>154</v>
      </c>
      <c r="H5" s="9">
        <f>E5-(L5+O5+R5)</f>
        <v>16558</v>
      </c>
      <c r="I5" s="9">
        <f t="shared" ref="I5:J20" si="0">F5-(M5+P5+S5)</f>
        <v>2</v>
      </c>
      <c r="J5" s="9">
        <f t="shared" si="0"/>
        <v>154</v>
      </c>
      <c r="K5" s="75"/>
      <c r="L5" s="59"/>
      <c r="M5" s="9"/>
      <c r="N5" s="9"/>
      <c r="O5" s="59"/>
      <c r="P5" s="9"/>
      <c r="Q5" s="9"/>
      <c r="R5" s="59"/>
      <c r="S5" s="9"/>
      <c r="T5" s="9"/>
    </row>
    <row r="6" spans="1:20" ht="28.5" customHeight="1" x14ac:dyDescent="0.2">
      <c r="A6" s="267"/>
      <c r="B6" s="326"/>
      <c r="C6" s="328"/>
      <c r="D6" s="13" t="s">
        <v>48</v>
      </c>
      <c r="E6" s="9">
        <v>15224</v>
      </c>
      <c r="F6" s="9">
        <v>5</v>
      </c>
      <c r="G6" s="4">
        <v>164</v>
      </c>
      <c r="H6" s="9">
        <f t="shared" ref="H6:J63" si="1">E6-(L6+O6+R6)</f>
        <v>15224</v>
      </c>
      <c r="I6" s="9">
        <f t="shared" si="0"/>
        <v>5</v>
      </c>
      <c r="J6" s="9">
        <f t="shared" si="0"/>
        <v>164</v>
      </c>
      <c r="K6" s="75"/>
      <c r="L6" s="59"/>
      <c r="M6" s="9"/>
      <c r="N6" s="9"/>
      <c r="O6" s="59"/>
      <c r="P6" s="9"/>
      <c r="Q6" s="9"/>
      <c r="R6" s="59"/>
      <c r="S6" s="9"/>
      <c r="T6" s="9"/>
    </row>
    <row r="7" spans="1:20" ht="28.5" customHeight="1" x14ac:dyDescent="0.2">
      <c r="A7" s="267"/>
      <c r="B7" s="326"/>
      <c r="C7" s="328"/>
      <c r="D7" s="13" t="s">
        <v>49</v>
      </c>
      <c r="E7" s="9">
        <v>9466</v>
      </c>
      <c r="F7" s="8">
        <v>6</v>
      </c>
      <c r="G7" s="4">
        <v>72</v>
      </c>
      <c r="H7" s="9">
        <f t="shared" si="1"/>
        <v>9466</v>
      </c>
      <c r="I7" s="9">
        <f t="shared" si="0"/>
        <v>6</v>
      </c>
      <c r="J7" s="9">
        <f t="shared" si="0"/>
        <v>72</v>
      </c>
      <c r="K7" s="75"/>
      <c r="L7" s="59"/>
      <c r="M7" s="8"/>
      <c r="N7" s="9"/>
      <c r="O7" s="59"/>
      <c r="P7" s="8"/>
      <c r="Q7" s="9"/>
      <c r="R7" s="59"/>
      <c r="S7" s="8"/>
      <c r="T7" s="9"/>
    </row>
    <row r="8" spans="1:20" ht="40.15" customHeight="1" x14ac:dyDescent="0.2">
      <c r="A8" s="267"/>
      <c r="B8" s="326"/>
      <c r="C8" s="328"/>
      <c r="D8" s="13" t="s">
        <v>50</v>
      </c>
      <c r="E8" s="9">
        <v>7109</v>
      </c>
      <c r="F8" s="8">
        <v>7</v>
      </c>
      <c r="G8" s="4">
        <v>90</v>
      </c>
      <c r="H8" s="9">
        <f>E8+E9</f>
        <v>8046</v>
      </c>
      <c r="I8" s="9">
        <f t="shared" si="0"/>
        <v>7</v>
      </c>
      <c r="J8" s="9">
        <f>G8+G9</f>
        <v>117</v>
      </c>
      <c r="K8" s="76" t="s">
        <v>198</v>
      </c>
      <c r="L8" s="59"/>
      <c r="M8" s="8"/>
      <c r="N8" s="9"/>
      <c r="O8" s="59"/>
      <c r="P8" s="8"/>
      <c r="Q8" s="9"/>
      <c r="R8" s="59"/>
      <c r="S8" s="8"/>
      <c r="T8" s="9"/>
    </row>
    <row r="9" spans="1:20" ht="41.45" customHeight="1" x14ac:dyDescent="0.2">
      <c r="A9" s="267"/>
      <c r="B9" s="326"/>
      <c r="C9" s="328"/>
      <c r="D9" s="13" t="s">
        <v>51</v>
      </c>
      <c r="E9" s="9">
        <v>937</v>
      </c>
      <c r="F9" s="8">
        <v>0</v>
      </c>
      <c r="G9" s="4">
        <v>27</v>
      </c>
      <c r="H9" s="9">
        <v>0</v>
      </c>
      <c r="I9" s="9">
        <f t="shared" si="0"/>
        <v>0</v>
      </c>
      <c r="J9" s="9">
        <v>0</v>
      </c>
      <c r="K9" s="76" t="s">
        <v>199</v>
      </c>
      <c r="L9" s="59"/>
      <c r="M9" s="8"/>
      <c r="N9" s="9"/>
      <c r="O9" s="59"/>
      <c r="P9" s="8"/>
      <c r="Q9" s="9"/>
      <c r="R9" s="59"/>
      <c r="S9" s="8"/>
      <c r="T9" s="9"/>
    </row>
    <row r="10" spans="1:20" ht="28.5" customHeight="1" x14ac:dyDescent="0.2">
      <c r="A10" s="267"/>
      <c r="B10" s="326"/>
      <c r="C10" s="329"/>
      <c r="D10" s="113" t="s">
        <v>52</v>
      </c>
      <c r="E10" s="114">
        <f>SUM(E5:E9)</f>
        <v>49294</v>
      </c>
      <c r="F10" s="114">
        <f>SUM(F5:F9)</f>
        <v>20</v>
      </c>
      <c r="G10" s="114">
        <f>SUM(G5:G9)</f>
        <v>507</v>
      </c>
      <c r="H10" s="114">
        <f>SUM(H5:H9)</f>
        <v>49294</v>
      </c>
      <c r="I10" s="114">
        <f t="shared" ref="I10:J10" si="2">SUM(I5:I9)</f>
        <v>20</v>
      </c>
      <c r="J10" s="114">
        <f t="shared" si="2"/>
        <v>507</v>
      </c>
      <c r="K10" s="76"/>
      <c r="L10" s="59"/>
      <c r="M10" s="8"/>
      <c r="N10" s="9"/>
      <c r="O10" s="59"/>
      <c r="P10" s="8"/>
      <c r="Q10" s="9"/>
      <c r="R10" s="59"/>
      <c r="S10" s="8"/>
      <c r="T10" s="9"/>
    </row>
    <row r="11" spans="1:20" ht="27.75" customHeight="1" x14ac:dyDescent="0.2">
      <c r="A11" s="267"/>
      <c r="B11" s="326"/>
      <c r="C11" s="327" t="s">
        <v>53</v>
      </c>
      <c r="D11" s="13" t="s">
        <v>54</v>
      </c>
      <c r="E11" s="9">
        <v>16281</v>
      </c>
      <c r="F11" s="8">
        <v>7</v>
      </c>
      <c r="G11" s="4">
        <v>188</v>
      </c>
      <c r="H11" s="9">
        <f t="shared" si="1"/>
        <v>16281</v>
      </c>
      <c r="I11" s="9">
        <f t="shared" si="0"/>
        <v>7</v>
      </c>
      <c r="J11" s="9">
        <f t="shared" si="0"/>
        <v>188</v>
      </c>
      <c r="K11" s="76"/>
      <c r="L11" s="59"/>
      <c r="M11" s="8"/>
      <c r="N11" s="9"/>
      <c r="O11" s="59"/>
      <c r="P11" s="8"/>
      <c r="Q11" s="9"/>
      <c r="R11" s="59"/>
      <c r="S11" s="8"/>
      <c r="T11" s="9"/>
    </row>
    <row r="12" spans="1:20" ht="27.75" customHeight="1" x14ac:dyDescent="0.2">
      <c r="A12" s="267"/>
      <c r="B12" s="326"/>
      <c r="C12" s="328"/>
      <c r="D12" s="13" t="s">
        <v>55</v>
      </c>
      <c r="E12" s="9">
        <v>18781</v>
      </c>
      <c r="F12" s="8">
        <v>7</v>
      </c>
      <c r="G12" s="4">
        <v>205</v>
      </c>
      <c r="H12" s="9">
        <f t="shared" si="1"/>
        <v>18781</v>
      </c>
      <c r="I12" s="9">
        <f t="shared" si="0"/>
        <v>7</v>
      </c>
      <c r="J12" s="9">
        <f t="shared" si="0"/>
        <v>205</v>
      </c>
      <c r="K12" s="76"/>
      <c r="L12" s="59"/>
      <c r="M12" s="8"/>
      <c r="N12" s="9"/>
      <c r="O12" s="59"/>
      <c r="P12" s="8"/>
      <c r="Q12" s="9"/>
      <c r="R12" s="59"/>
      <c r="S12" s="8"/>
      <c r="T12" s="9"/>
    </row>
    <row r="13" spans="1:20" ht="27.75" customHeight="1" x14ac:dyDescent="0.2">
      <c r="A13" s="267"/>
      <c r="B13" s="326"/>
      <c r="C13" s="328"/>
      <c r="D13" s="13" t="s">
        <v>56</v>
      </c>
      <c r="E13" s="9">
        <v>3373</v>
      </c>
      <c r="F13" s="8">
        <v>11</v>
      </c>
      <c r="G13" s="4">
        <v>75</v>
      </c>
      <c r="H13" s="9">
        <f>E13-(L13+O13+R13)+1600</f>
        <v>4973</v>
      </c>
      <c r="I13" s="9">
        <f t="shared" si="0"/>
        <v>11</v>
      </c>
      <c r="J13" s="9">
        <f>75+52</f>
        <v>127</v>
      </c>
      <c r="K13" s="76" t="s">
        <v>201</v>
      </c>
      <c r="L13" s="59"/>
      <c r="M13" s="8"/>
      <c r="N13" s="9"/>
      <c r="O13" s="59"/>
      <c r="P13" s="8"/>
      <c r="Q13" s="9"/>
      <c r="R13" s="59"/>
      <c r="S13" s="8"/>
      <c r="T13" s="9"/>
    </row>
    <row r="14" spans="1:20" ht="27.75" customHeight="1" x14ac:dyDescent="0.2">
      <c r="A14" s="267"/>
      <c r="B14" s="326"/>
      <c r="C14" s="328"/>
      <c r="D14" s="13" t="s">
        <v>57</v>
      </c>
      <c r="E14" s="9">
        <v>3133</v>
      </c>
      <c r="F14" s="8">
        <v>1</v>
      </c>
      <c r="G14" s="4">
        <v>82</v>
      </c>
      <c r="H14" s="9">
        <v>0</v>
      </c>
      <c r="I14" s="9">
        <v>0</v>
      </c>
      <c r="J14" s="9">
        <v>0</v>
      </c>
      <c r="K14" s="76" t="s">
        <v>200</v>
      </c>
      <c r="L14" s="59"/>
      <c r="M14" s="8"/>
      <c r="N14" s="9"/>
      <c r="O14" s="59"/>
      <c r="P14" s="8"/>
      <c r="Q14" s="9"/>
      <c r="R14" s="59"/>
      <c r="S14" s="8"/>
      <c r="T14" s="9"/>
    </row>
    <row r="15" spans="1:20" ht="27.75" customHeight="1" x14ac:dyDescent="0.2">
      <c r="A15" s="267"/>
      <c r="B15" s="326"/>
      <c r="C15" s="329"/>
      <c r="D15" s="113" t="s">
        <v>52</v>
      </c>
      <c r="E15" s="114">
        <f>SUM(E11:E14)</f>
        <v>41568</v>
      </c>
      <c r="F15" s="114">
        <f>SUM(F11:F14)</f>
        <v>26</v>
      </c>
      <c r="G15" s="114">
        <f>SUM(G11:G14)</f>
        <v>550</v>
      </c>
      <c r="H15" s="114">
        <f>SUM(H11:H14)</f>
        <v>40035</v>
      </c>
      <c r="I15" s="114">
        <f t="shared" ref="I15:J15" si="3">SUM(I11:I14)</f>
        <v>25</v>
      </c>
      <c r="J15" s="114">
        <f t="shared" si="3"/>
        <v>520</v>
      </c>
      <c r="K15" s="76"/>
      <c r="L15" s="59"/>
      <c r="M15" s="59"/>
      <c r="N15" s="59"/>
      <c r="O15" s="59"/>
      <c r="P15" s="59"/>
      <c r="Q15" s="59"/>
      <c r="R15" s="59"/>
      <c r="S15" s="59"/>
      <c r="T15" s="59"/>
    </row>
    <row r="16" spans="1:20" ht="26.25" customHeight="1" x14ac:dyDescent="0.2">
      <c r="A16" s="267"/>
      <c r="B16" s="326"/>
      <c r="C16" s="308" t="s">
        <v>58</v>
      </c>
      <c r="D16" s="13" t="s">
        <v>59</v>
      </c>
      <c r="E16" s="61">
        <v>6534</v>
      </c>
      <c r="F16" s="62">
        <v>8</v>
      </c>
      <c r="G16" s="4">
        <v>107</v>
      </c>
      <c r="H16" s="9">
        <f>E16+E19</f>
        <v>8889</v>
      </c>
      <c r="I16" s="9">
        <f>F16+F19</f>
        <v>14</v>
      </c>
      <c r="J16" s="9">
        <f>G16-(N16+Q16+T16)+82</f>
        <v>189</v>
      </c>
      <c r="K16" s="109" t="s">
        <v>216</v>
      </c>
      <c r="L16" s="62"/>
      <c r="M16" s="62"/>
      <c r="N16" s="62"/>
      <c r="O16" s="62"/>
      <c r="P16" s="62"/>
      <c r="Q16" s="62"/>
      <c r="R16" s="62"/>
      <c r="S16" s="62"/>
      <c r="T16" s="62"/>
    </row>
    <row r="17" spans="1:20" ht="26.25" customHeight="1" x14ac:dyDescent="0.2">
      <c r="A17" s="267"/>
      <c r="B17" s="326"/>
      <c r="C17" s="309"/>
      <c r="D17" s="13" t="s">
        <v>60</v>
      </c>
      <c r="E17" s="62">
        <v>9249</v>
      </c>
      <c r="F17" s="62">
        <v>10</v>
      </c>
      <c r="G17" s="4">
        <v>155</v>
      </c>
      <c r="H17" s="9">
        <f t="shared" si="1"/>
        <v>9249</v>
      </c>
      <c r="I17" s="9">
        <f t="shared" si="0"/>
        <v>10</v>
      </c>
      <c r="J17" s="9">
        <f t="shared" si="0"/>
        <v>155</v>
      </c>
      <c r="K17" s="109"/>
      <c r="L17" s="62"/>
      <c r="M17" s="62"/>
      <c r="N17" s="62"/>
      <c r="O17" s="62"/>
      <c r="P17" s="62"/>
      <c r="Q17" s="62"/>
      <c r="R17" s="62"/>
      <c r="S17" s="62"/>
      <c r="T17" s="62"/>
    </row>
    <row r="18" spans="1:20" ht="26.25" customHeight="1" x14ac:dyDescent="0.2">
      <c r="A18" s="267"/>
      <c r="B18" s="326"/>
      <c r="C18" s="309"/>
      <c r="D18" s="13" t="s">
        <v>61</v>
      </c>
      <c r="E18" s="62">
        <v>5996</v>
      </c>
      <c r="F18" s="62">
        <v>20</v>
      </c>
      <c r="G18" s="4">
        <v>81</v>
      </c>
      <c r="H18" s="9">
        <f>E18-(L18+O18+R18)+1533</f>
        <v>7529</v>
      </c>
      <c r="I18" s="9">
        <f t="shared" si="0"/>
        <v>20</v>
      </c>
      <c r="J18" s="9">
        <f>81+30</f>
        <v>111</v>
      </c>
      <c r="K18" s="76" t="s">
        <v>201</v>
      </c>
      <c r="L18" s="62"/>
      <c r="M18" s="62"/>
      <c r="N18" s="62"/>
      <c r="O18" s="62"/>
      <c r="P18" s="62"/>
      <c r="Q18" s="62"/>
      <c r="R18" s="62"/>
      <c r="S18" s="62"/>
      <c r="T18" s="62"/>
    </row>
    <row r="19" spans="1:20" ht="26.25" customHeight="1" x14ac:dyDescent="0.2">
      <c r="A19" s="267"/>
      <c r="B19" s="326"/>
      <c r="C19" s="309"/>
      <c r="D19" s="13" t="s">
        <v>62</v>
      </c>
      <c r="E19" s="62">
        <v>2355</v>
      </c>
      <c r="F19" s="62">
        <v>6</v>
      </c>
      <c r="G19" s="4">
        <v>82</v>
      </c>
      <c r="H19" s="9">
        <v>0</v>
      </c>
      <c r="I19" s="9">
        <v>0</v>
      </c>
      <c r="J19" s="9">
        <v>0</v>
      </c>
      <c r="K19" s="109" t="s">
        <v>252</v>
      </c>
      <c r="L19" s="62"/>
      <c r="M19" s="62"/>
      <c r="N19" s="62"/>
      <c r="O19" s="62"/>
      <c r="P19" s="62"/>
      <c r="Q19" s="62"/>
      <c r="R19" s="62"/>
      <c r="S19" s="62"/>
      <c r="T19" s="62"/>
    </row>
    <row r="20" spans="1:20" ht="26.25" customHeight="1" x14ac:dyDescent="0.2">
      <c r="A20" s="267"/>
      <c r="B20" s="326"/>
      <c r="C20" s="309"/>
      <c r="D20" s="13" t="s">
        <v>63</v>
      </c>
      <c r="E20" s="62">
        <v>3614</v>
      </c>
      <c r="F20" s="62">
        <v>22</v>
      </c>
      <c r="G20" s="4">
        <v>118</v>
      </c>
      <c r="H20" s="9">
        <f t="shared" si="1"/>
        <v>3614</v>
      </c>
      <c r="I20" s="9">
        <f t="shared" si="0"/>
        <v>22</v>
      </c>
      <c r="J20" s="9">
        <f t="shared" si="0"/>
        <v>118</v>
      </c>
      <c r="K20" s="109"/>
      <c r="L20" s="62"/>
      <c r="M20" s="62"/>
      <c r="N20" s="62"/>
      <c r="O20" s="62"/>
      <c r="P20" s="62"/>
      <c r="Q20" s="62"/>
      <c r="R20" s="62"/>
      <c r="S20" s="62"/>
      <c r="T20" s="62"/>
    </row>
    <row r="21" spans="1:20" ht="26.25" customHeight="1" x14ac:dyDescent="0.2">
      <c r="A21" s="267"/>
      <c r="B21" s="326"/>
      <c r="C21" s="309"/>
      <c r="D21" s="13" t="s">
        <v>64</v>
      </c>
      <c r="E21" s="62">
        <v>4931</v>
      </c>
      <c r="F21" s="62">
        <v>13</v>
      </c>
      <c r="G21" s="4">
        <v>138</v>
      </c>
      <c r="H21" s="9">
        <f t="shared" si="1"/>
        <v>4931</v>
      </c>
      <c r="I21" s="9">
        <f t="shared" si="1"/>
        <v>13</v>
      </c>
      <c r="J21" s="9">
        <f t="shared" si="1"/>
        <v>138</v>
      </c>
      <c r="K21" s="109"/>
      <c r="L21" s="62"/>
      <c r="M21" s="62"/>
      <c r="N21" s="62"/>
      <c r="O21" s="62"/>
      <c r="P21" s="62"/>
      <c r="Q21" s="62"/>
      <c r="R21" s="62"/>
      <c r="S21" s="62"/>
      <c r="T21" s="62"/>
    </row>
    <row r="22" spans="1:20" ht="26.25" customHeight="1" x14ac:dyDescent="0.2">
      <c r="A22" s="267"/>
      <c r="B22" s="326"/>
      <c r="C22" s="309"/>
      <c r="D22" s="13" t="s">
        <v>65</v>
      </c>
      <c r="E22" s="62">
        <v>10871</v>
      </c>
      <c r="F22" s="62">
        <v>9</v>
      </c>
      <c r="G22" s="4">
        <v>157</v>
      </c>
      <c r="H22" s="9">
        <f t="shared" si="1"/>
        <v>10871</v>
      </c>
      <c r="I22" s="9">
        <f t="shared" si="1"/>
        <v>9</v>
      </c>
      <c r="J22" s="9">
        <f t="shared" si="1"/>
        <v>157</v>
      </c>
      <c r="K22" s="109"/>
      <c r="L22" s="62"/>
      <c r="M22" s="62"/>
      <c r="N22" s="62"/>
      <c r="O22" s="62"/>
      <c r="P22" s="62"/>
      <c r="Q22" s="62"/>
      <c r="R22" s="62"/>
      <c r="S22" s="62"/>
      <c r="T22" s="62"/>
    </row>
    <row r="23" spans="1:20" ht="26.25" customHeight="1" x14ac:dyDescent="0.2">
      <c r="A23" s="267"/>
      <c r="B23" s="326"/>
      <c r="C23" s="309"/>
      <c r="D23" s="13" t="s">
        <v>219</v>
      </c>
      <c r="E23" s="62">
        <v>0</v>
      </c>
      <c r="F23" s="62">
        <v>0</v>
      </c>
      <c r="G23" s="4">
        <v>0</v>
      </c>
      <c r="H23" s="9">
        <v>7285</v>
      </c>
      <c r="I23" s="9">
        <v>1</v>
      </c>
      <c r="J23" s="9">
        <v>178</v>
      </c>
      <c r="K23" s="109" t="s">
        <v>220</v>
      </c>
      <c r="L23" s="62"/>
      <c r="M23" s="62"/>
      <c r="N23" s="62"/>
      <c r="O23" s="62"/>
      <c r="P23" s="62"/>
      <c r="Q23" s="62"/>
      <c r="R23" s="62"/>
      <c r="S23" s="62"/>
      <c r="T23" s="62"/>
    </row>
    <row r="24" spans="1:20" ht="26.25" customHeight="1" x14ac:dyDescent="0.2">
      <c r="A24" s="267"/>
      <c r="B24" s="326"/>
      <c r="C24" s="310"/>
      <c r="D24" s="113" t="s">
        <v>52</v>
      </c>
      <c r="E24" s="115">
        <f t="shared" ref="E24:J24" si="4">SUM(E16:E23)</f>
        <v>43550</v>
      </c>
      <c r="F24" s="115">
        <f t="shared" si="4"/>
        <v>88</v>
      </c>
      <c r="G24" s="115">
        <f t="shared" si="4"/>
        <v>838</v>
      </c>
      <c r="H24" s="114">
        <f t="shared" si="4"/>
        <v>52368</v>
      </c>
      <c r="I24" s="114">
        <f t="shared" si="4"/>
        <v>89</v>
      </c>
      <c r="J24" s="114">
        <f t="shared" si="4"/>
        <v>1046</v>
      </c>
      <c r="K24" s="109"/>
      <c r="L24" s="62"/>
      <c r="M24" s="62"/>
      <c r="N24" s="62"/>
      <c r="O24" s="62"/>
      <c r="P24" s="62"/>
      <c r="Q24" s="62"/>
      <c r="R24" s="62"/>
      <c r="S24" s="62"/>
      <c r="T24" s="62"/>
    </row>
    <row r="25" spans="1:20" ht="34.15" customHeight="1" x14ac:dyDescent="0.2">
      <c r="A25" s="267"/>
      <c r="B25" s="326"/>
      <c r="C25" s="309" t="s">
        <v>221</v>
      </c>
      <c r="D25" s="13" t="s">
        <v>69</v>
      </c>
      <c r="E25" s="62">
        <v>10543</v>
      </c>
      <c r="F25" s="62">
        <v>2</v>
      </c>
      <c r="G25" s="4">
        <v>81</v>
      </c>
      <c r="H25" s="9">
        <f t="shared" si="1"/>
        <v>10543</v>
      </c>
      <c r="I25" s="9">
        <f t="shared" si="1"/>
        <v>2</v>
      </c>
      <c r="J25" s="9">
        <f t="shared" si="1"/>
        <v>81</v>
      </c>
      <c r="K25" s="109"/>
      <c r="L25" s="62"/>
      <c r="M25" s="62"/>
      <c r="N25" s="62"/>
      <c r="O25" s="62"/>
      <c r="P25" s="62"/>
      <c r="Q25" s="62"/>
      <c r="R25" s="62"/>
      <c r="S25" s="62"/>
      <c r="T25" s="62"/>
    </row>
    <row r="26" spans="1:20" ht="34.15" customHeight="1" x14ac:dyDescent="0.2">
      <c r="A26" s="267"/>
      <c r="B26" s="326"/>
      <c r="C26" s="309"/>
      <c r="D26" s="13" t="s">
        <v>71</v>
      </c>
      <c r="E26" s="62">
        <v>14321</v>
      </c>
      <c r="F26" s="62">
        <v>4</v>
      </c>
      <c r="G26" s="4">
        <v>236</v>
      </c>
      <c r="H26" s="9">
        <f t="shared" si="1"/>
        <v>14321</v>
      </c>
      <c r="I26" s="9">
        <f t="shared" si="1"/>
        <v>4</v>
      </c>
      <c r="J26" s="9">
        <f t="shared" si="1"/>
        <v>236</v>
      </c>
      <c r="K26" s="109"/>
      <c r="L26" s="62"/>
      <c r="M26" s="62"/>
      <c r="N26" s="62"/>
      <c r="O26" s="62"/>
      <c r="P26" s="62"/>
      <c r="Q26" s="62"/>
      <c r="R26" s="62"/>
      <c r="S26" s="62"/>
      <c r="T26" s="62"/>
    </row>
    <row r="27" spans="1:20" ht="34.15" customHeight="1" x14ac:dyDescent="0.2">
      <c r="A27" s="267"/>
      <c r="B27" s="326"/>
      <c r="C27" s="309"/>
      <c r="D27" s="13" t="s">
        <v>73</v>
      </c>
      <c r="E27" s="62">
        <v>6351</v>
      </c>
      <c r="F27" s="62">
        <v>0</v>
      </c>
      <c r="G27" s="4">
        <v>42</v>
      </c>
      <c r="H27" s="9">
        <f t="shared" si="1"/>
        <v>6351</v>
      </c>
      <c r="I27" s="9">
        <f t="shared" si="1"/>
        <v>0</v>
      </c>
      <c r="J27" s="9">
        <f t="shared" si="1"/>
        <v>42</v>
      </c>
      <c r="K27" s="109"/>
      <c r="L27" s="62"/>
      <c r="M27" s="62"/>
      <c r="N27" s="62"/>
      <c r="O27" s="62"/>
      <c r="P27" s="62"/>
      <c r="Q27" s="62"/>
      <c r="R27" s="62"/>
      <c r="S27" s="62"/>
      <c r="T27" s="62"/>
    </row>
    <row r="28" spans="1:20" ht="34.15" customHeight="1" x14ac:dyDescent="0.2">
      <c r="A28" s="267"/>
      <c r="B28" s="326"/>
      <c r="C28" s="310"/>
      <c r="D28" s="113" t="s">
        <v>52</v>
      </c>
      <c r="E28" s="115">
        <f>SUM(E25:E27)</f>
        <v>31215</v>
      </c>
      <c r="F28" s="115">
        <f>SUM(F25:F27)</f>
        <v>6</v>
      </c>
      <c r="G28" s="115">
        <f>SUM(G25:G27)</f>
        <v>359</v>
      </c>
      <c r="H28" s="114">
        <f>SUM(H25:H27)</f>
        <v>31215</v>
      </c>
      <c r="I28" s="114">
        <f t="shared" ref="I28:J28" si="5">SUM(I25:I27)</f>
        <v>6</v>
      </c>
      <c r="J28" s="114">
        <f t="shared" si="5"/>
        <v>359</v>
      </c>
      <c r="K28" s="109"/>
      <c r="L28" s="62"/>
      <c r="M28" s="62"/>
      <c r="N28" s="62"/>
      <c r="O28" s="62"/>
      <c r="P28" s="62"/>
      <c r="Q28" s="62"/>
      <c r="R28" s="62"/>
      <c r="S28" s="62"/>
      <c r="T28" s="62"/>
    </row>
    <row r="29" spans="1:20" ht="31.15" customHeight="1" x14ac:dyDescent="0.2">
      <c r="A29" s="267"/>
      <c r="B29" s="326"/>
      <c r="C29" s="319" t="s">
        <v>79</v>
      </c>
      <c r="D29" s="320"/>
      <c r="E29" s="62">
        <v>18408</v>
      </c>
      <c r="F29" s="62">
        <v>4</v>
      </c>
      <c r="G29" s="4">
        <v>164</v>
      </c>
      <c r="H29" s="9">
        <f t="shared" si="1"/>
        <v>18408</v>
      </c>
      <c r="I29" s="9">
        <f t="shared" si="1"/>
        <v>4</v>
      </c>
      <c r="J29" s="9">
        <f t="shared" si="1"/>
        <v>164</v>
      </c>
      <c r="K29" s="109"/>
      <c r="L29" s="60"/>
      <c r="M29" s="60"/>
      <c r="N29" s="60"/>
      <c r="O29" s="60"/>
      <c r="P29" s="60"/>
      <c r="Q29" s="60"/>
      <c r="R29" s="60"/>
      <c r="S29" s="60"/>
      <c r="T29" s="60"/>
    </row>
    <row r="30" spans="1:20" ht="31.15" customHeight="1" x14ac:dyDescent="0.2">
      <c r="A30" s="267"/>
      <c r="B30" s="326"/>
      <c r="C30" s="319" t="s">
        <v>80</v>
      </c>
      <c r="D30" s="320"/>
      <c r="E30" s="62">
        <v>15296</v>
      </c>
      <c r="F30" s="62">
        <v>2</v>
      </c>
      <c r="G30" s="4">
        <v>125</v>
      </c>
      <c r="H30" s="9">
        <f t="shared" si="1"/>
        <v>15296</v>
      </c>
      <c r="I30" s="9">
        <f t="shared" si="1"/>
        <v>2</v>
      </c>
      <c r="J30" s="9">
        <f t="shared" si="1"/>
        <v>125</v>
      </c>
      <c r="K30" s="109"/>
      <c r="L30" s="60"/>
      <c r="M30" s="60"/>
      <c r="N30" s="60"/>
      <c r="O30" s="60"/>
      <c r="P30" s="60"/>
      <c r="Q30" s="60"/>
      <c r="R30" s="60"/>
      <c r="S30" s="60"/>
      <c r="T30" s="60"/>
    </row>
    <row r="31" spans="1:20" ht="31.15" customHeight="1" x14ac:dyDescent="0.2">
      <c r="A31" s="267"/>
      <c r="B31" s="326"/>
      <c r="C31" s="319" t="s">
        <v>177</v>
      </c>
      <c r="D31" s="320"/>
      <c r="E31" s="62">
        <v>16497</v>
      </c>
      <c r="F31" s="62">
        <v>2</v>
      </c>
      <c r="G31" s="4">
        <v>157</v>
      </c>
      <c r="H31" s="9">
        <f t="shared" si="1"/>
        <v>16497</v>
      </c>
      <c r="I31" s="9">
        <f t="shared" si="1"/>
        <v>2</v>
      </c>
      <c r="J31" s="9">
        <f t="shared" si="1"/>
        <v>157</v>
      </c>
      <c r="K31" s="109"/>
      <c r="L31" s="60"/>
      <c r="M31" s="60"/>
      <c r="N31" s="60"/>
      <c r="O31" s="60"/>
      <c r="P31" s="60"/>
      <c r="Q31" s="60"/>
      <c r="R31" s="60"/>
      <c r="S31" s="60"/>
      <c r="T31" s="60"/>
    </row>
    <row r="32" spans="1:20" ht="31.15" customHeight="1" x14ac:dyDescent="0.2">
      <c r="A32" s="267"/>
      <c r="B32" s="326"/>
      <c r="C32" s="319" t="s">
        <v>81</v>
      </c>
      <c r="D32" s="320"/>
      <c r="E32" s="62">
        <v>16203</v>
      </c>
      <c r="F32" s="62">
        <v>2</v>
      </c>
      <c r="G32" s="4">
        <v>206</v>
      </c>
      <c r="H32" s="9">
        <f t="shared" si="1"/>
        <v>16203</v>
      </c>
      <c r="I32" s="9">
        <f t="shared" si="1"/>
        <v>2</v>
      </c>
      <c r="J32" s="9">
        <f t="shared" si="1"/>
        <v>206</v>
      </c>
      <c r="K32" s="109"/>
      <c r="L32" s="60"/>
      <c r="M32" s="60"/>
      <c r="N32" s="60"/>
      <c r="O32" s="60"/>
      <c r="P32" s="60"/>
      <c r="Q32" s="60"/>
      <c r="R32" s="60"/>
      <c r="S32" s="60"/>
      <c r="T32" s="60"/>
    </row>
    <row r="33" spans="1:20" ht="31.15" customHeight="1" x14ac:dyDescent="0.2">
      <c r="A33" s="267"/>
      <c r="B33" s="55"/>
      <c r="C33" s="319" t="s">
        <v>82</v>
      </c>
      <c r="D33" s="320"/>
      <c r="E33" s="62">
        <v>15574</v>
      </c>
      <c r="F33" s="62">
        <v>1</v>
      </c>
      <c r="G33" s="4">
        <v>206</v>
      </c>
      <c r="H33" s="9">
        <f t="shared" si="1"/>
        <v>15574</v>
      </c>
      <c r="I33" s="9">
        <f t="shared" si="1"/>
        <v>1</v>
      </c>
      <c r="J33" s="9">
        <f t="shared" si="1"/>
        <v>206</v>
      </c>
      <c r="K33" s="109"/>
      <c r="L33" s="60"/>
      <c r="M33" s="60"/>
      <c r="N33" s="60"/>
      <c r="O33" s="60"/>
      <c r="P33" s="60"/>
      <c r="Q33" s="60"/>
      <c r="R33" s="60"/>
      <c r="S33" s="60"/>
      <c r="T33" s="60"/>
    </row>
    <row r="34" spans="1:20" ht="27.75" customHeight="1" x14ac:dyDescent="0.2">
      <c r="A34" s="267"/>
      <c r="B34" s="321" t="s">
        <v>83</v>
      </c>
      <c r="C34" s="322"/>
      <c r="D34" s="323"/>
      <c r="E34" s="106">
        <f t="shared" ref="E34:J34" si="6">E10+E15+E24+E28+E29+E30+E31+E32+E33</f>
        <v>247605</v>
      </c>
      <c r="F34" s="106">
        <f t="shared" si="6"/>
        <v>151</v>
      </c>
      <c r="G34" s="106">
        <f t="shared" si="6"/>
        <v>3112</v>
      </c>
      <c r="H34" s="106">
        <f t="shared" si="6"/>
        <v>254890</v>
      </c>
      <c r="I34" s="106">
        <f t="shared" si="6"/>
        <v>151</v>
      </c>
      <c r="J34" s="106">
        <f t="shared" si="6"/>
        <v>3290</v>
      </c>
      <c r="K34" s="109"/>
      <c r="L34" s="60">
        <f t="shared" ref="L34:T34" si="7">SUM(L5:L33)</f>
        <v>0</v>
      </c>
      <c r="M34" s="60">
        <f t="shared" si="7"/>
        <v>0</v>
      </c>
      <c r="N34" s="60">
        <f t="shared" si="7"/>
        <v>0</v>
      </c>
      <c r="O34" s="60">
        <f t="shared" si="7"/>
        <v>0</v>
      </c>
      <c r="P34" s="60">
        <f t="shared" si="7"/>
        <v>0</v>
      </c>
      <c r="Q34" s="60">
        <f t="shared" si="7"/>
        <v>0</v>
      </c>
      <c r="R34" s="60">
        <f t="shared" si="7"/>
        <v>0</v>
      </c>
      <c r="S34" s="60">
        <f t="shared" si="7"/>
        <v>0</v>
      </c>
      <c r="T34" s="60">
        <f t="shared" si="7"/>
        <v>0</v>
      </c>
    </row>
    <row r="35" spans="1:20" ht="26.25" customHeight="1" x14ac:dyDescent="0.2">
      <c r="A35" s="267"/>
      <c r="B35" s="274" t="s">
        <v>130</v>
      </c>
      <c r="C35" s="316" t="s">
        <v>84</v>
      </c>
      <c r="D35" s="38" t="s">
        <v>85</v>
      </c>
      <c r="E35" s="63">
        <v>12239</v>
      </c>
      <c r="F35" s="63">
        <v>3</v>
      </c>
      <c r="G35" s="63">
        <v>109</v>
      </c>
      <c r="H35" s="9">
        <f t="shared" si="1"/>
        <v>12239</v>
      </c>
      <c r="I35" s="9">
        <f t="shared" si="1"/>
        <v>3</v>
      </c>
      <c r="J35" s="9">
        <f t="shared" si="1"/>
        <v>109</v>
      </c>
      <c r="K35" s="77"/>
      <c r="L35" s="60"/>
      <c r="M35" s="60"/>
      <c r="N35" s="60"/>
      <c r="O35" s="60"/>
      <c r="P35" s="60"/>
      <c r="Q35" s="60"/>
      <c r="R35" s="60"/>
      <c r="S35" s="60"/>
      <c r="T35" s="62"/>
    </row>
    <row r="36" spans="1:20" ht="18.75" x14ac:dyDescent="0.2">
      <c r="A36" s="267"/>
      <c r="B36" s="267"/>
      <c r="C36" s="317"/>
      <c r="D36" s="38" t="s">
        <v>86</v>
      </c>
      <c r="E36" s="63">
        <v>8810</v>
      </c>
      <c r="F36" s="63">
        <v>6</v>
      </c>
      <c r="G36" s="63">
        <v>202</v>
      </c>
      <c r="H36" s="9">
        <f>E36-(L36+O36+R36)-3600</f>
        <v>5054</v>
      </c>
      <c r="I36" s="9">
        <f>F36-(M36+P36+S36)-2</f>
        <v>4</v>
      </c>
      <c r="J36" s="9">
        <f>G36-(N36+Q36+T36)-72</f>
        <v>126</v>
      </c>
      <c r="K36" s="104" t="s">
        <v>173</v>
      </c>
      <c r="L36" s="60"/>
      <c r="M36" s="60"/>
      <c r="N36" s="60"/>
      <c r="O36" s="60">
        <v>156</v>
      </c>
      <c r="P36" s="60">
        <v>0</v>
      </c>
      <c r="Q36" s="60">
        <v>4</v>
      </c>
      <c r="R36" s="60"/>
      <c r="S36" s="60"/>
      <c r="T36" s="62"/>
    </row>
    <row r="37" spans="1:20" ht="47.25" customHeight="1" x14ac:dyDescent="0.2">
      <c r="A37" s="267"/>
      <c r="B37" s="267"/>
      <c r="C37" s="317"/>
      <c r="D37" s="38" t="s">
        <v>87</v>
      </c>
      <c r="E37" s="63">
        <v>6320</v>
      </c>
      <c r="F37" s="63">
        <v>0</v>
      </c>
      <c r="G37" s="63">
        <v>128</v>
      </c>
      <c r="H37" s="9">
        <f>E37-(L37+O37+R37)-750</f>
        <v>4892</v>
      </c>
      <c r="I37" s="9">
        <f t="shared" si="1"/>
        <v>0</v>
      </c>
      <c r="J37" s="9">
        <f>G37-(N37+Q37+T37)-30</f>
        <v>92</v>
      </c>
      <c r="K37" s="104" t="s">
        <v>222</v>
      </c>
      <c r="L37" s="60"/>
      <c r="M37" s="60"/>
      <c r="N37" s="60"/>
      <c r="O37" s="60">
        <v>678</v>
      </c>
      <c r="P37" s="60">
        <v>0</v>
      </c>
      <c r="Q37" s="60">
        <v>6</v>
      </c>
      <c r="R37" s="60"/>
      <c r="S37" s="60"/>
      <c r="T37" s="62"/>
    </row>
    <row r="38" spans="1:20" ht="47.25" customHeight="1" x14ac:dyDescent="0.2">
      <c r="A38" s="267"/>
      <c r="B38" s="267"/>
      <c r="C38" s="317"/>
      <c r="D38" s="38" t="s">
        <v>250</v>
      </c>
      <c r="E38" s="63">
        <v>0</v>
      </c>
      <c r="F38" s="63">
        <v>0</v>
      </c>
      <c r="G38" s="63">
        <v>0</v>
      </c>
      <c r="H38" s="9">
        <v>6000</v>
      </c>
      <c r="I38" s="9">
        <v>0</v>
      </c>
      <c r="J38" s="9">
        <v>102</v>
      </c>
      <c r="K38" s="104" t="s">
        <v>251</v>
      </c>
      <c r="L38" s="60"/>
      <c r="M38" s="60"/>
      <c r="N38" s="60"/>
      <c r="O38" s="60"/>
      <c r="P38" s="60"/>
      <c r="Q38" s="60"/>
      <c r="R38" s="60"/>
      <c r="S38" s="60"/>
      <c r="T38" s="62"/>
    </row>
    <row r="39" spans="1:20" ht="47.25" customHeight="1" x14ac:dyDescent="0.2">
      <c r="A39" s="267"/>
      <c r="B39" s="267"/>
      <c r="C39" s="317"/>
      <c r="D39" s="38" t="s">
        <v>253</v>
      </c>
      <c r="E39" s="63">
        <v>0</v>
      </c>
      <c r="F39" s="63">
        <v>0</v>
      </c>
      <c r="G39" s="63">
        <v>0</v>
      </c>
      <c r="H39" s="9">
        <f>3600+750</f>
        <v>4350</v>
      </c>
      <c r="I39" s="9">
        <v>0</v>
      </c>
      <c r="J39" s="9">
        <f>72+30</f>
        <v>102</v>
      </c>
      <c r="K39" s="104" t="s">
        <v>260</v>
      </c>
      <c r="L39" s="60"/>
      <c r="M39" s="60"/>
      <c r="N39" s="60"/>
      <c r="O39" s="60"/>
      <c r="P39" s="60"/>
      <c r="Q39" s="60"/>
      <c r="R39" s="60"/>
      <c r="S39" s="60"/>
      <c r="T39" s="62"/>
    </row>
    <row r="40" spans="1:20" ht="27" customHeight="1" x14ac:dyDescent="0.2">
      <c r="A40" s="267"/>
      <c r="B40" s="267"/>
      <c r="C40" s="317"/>
      <c r="D40" s="38" t="s">
        <v>88</v>
      </c>
      <c r="E40" s="63">
        <v>17075</v>
      </c>
      <c r="F40" s="63">
        <v>8</v>
      </c>
      <c r="G40" s="63">
        <v>223</v>
      </c>
      <c r="H40" s="9">
        <f>E40-(L40+O40+R40)-6000</f>
        <v>11075</v>
      </c>
      <c r="I40" s="9">
        <f t="shared" si="1"/>
        <v>8</v>
      </c>
      <c r="J40" s="9">
        <f>G40-(N40+Q40+T40)-102</f>
        <v>121</v>
      </c>
      <c r="K40" s="109" t="s">
        <v>261</v>
      </c>
      <c r="L40" s="60"/>
      <c r="M40" s="60"/>
      <c r="N40" s="60"/>
      <c r="O40" s="60"/>
      <c r="P40" s="60"/>
      <c r="Q40" s="60"/>
      <c r="R40" s="60"/>
      <c r="S40" s="60"/>
      <c r="T40" s="62"/>
    </row>
    <row r="41" spans="1:20" ht="27" customHeight="1" x14ac:dyDescent="0.2">
      <c r="A41" s="267"/>
      <c r="B41" s="267"/>
      <c r="C41" s="318"/>
      <c r="D41" s="105" t="s">
        <v>52</v>
      </c>
      <c r="E41" s="107">
        <f>SUM(E35:E40)</f>
        <v>44444</v>
      </c>
      <c r="F41" s="107">
        <f>SUM(F35:F40)</f>
        <v>17</v>
      </c>
      <c r="G41" s="107">
        <f>SUM(G35:G40)</f>
        <v>662</v>
      </c>
      <c r="H41" s="108">
        <f>SUM(H35:H40)</f>
        <v>43610</v>
      </c>
      <c r="I41" s="108">
        <f t="shared" ref="I41:J41" si="8">SUM(I35:I40)</f>
        <v>15</v>
      </c>
      <c r="J41" s="108">
        <f t="shared" si="8"/>
        <v>652</v>
      </c>
      <c r="K41" s="77"/>
      <c r="L41" s="60"/>
      <c r="M41" s="60"/>
      <c r="N41" s="60"/>
      <c r="O41" s="60"/>
      <c r="P41" s="60"/>
      <c r="Q41" s="60"/>
      <c r="R41" s="60"/>
      <c r="S41" s="60"/>
      <c r="T41" s="62"/>
    </row>
    <row r="42" spans="1:20" ht="27" customHeight="1" x14ac:dyDescent="0.2">
      <c r="A42" s="267"/>
      <c r="B42" s="267"/>
      <c r="C42" s="316" t="s">
        <v>89</v>
      </c>
      <c r="D42" s="38" t="s">
        <v>90</v>
      </c>
      <c r="E42" s="63">
        <v>10444</v>
      </c>
      <c r="F42" s="63">
        <v>10</v>
      </c>
      <c r="G42" s="63">
        <v>209</v>
      </c>
      <c r="H42" s="9">
        <f>E42-(L42+O42+R42)-5400</f>
        <v>5044</v>
      </c>
      <c r="I42" s="9">
        <f t="shared" si="1"/>
        <v>10</v>
      </c>
      <c r="J42" s="9">
        <f>G42-(N42+Q42+T42)-60</f>
        <v>149</v>
      </c>
      <c r="K42" s="104" t="s">
        <v>223</v>
      </c>
      <c r="L42" s="60"/>
      <c r="M42" s="60"/>
      <c r="N42" s="60"/>
      <c r="O42" s="60"/>
      <c r="P42" s="60"/>
      <c r="Q42" s="60"/>
      <c r="R42" s="60"/>
      <c r="S42" s="60"/>
      <c r="T42" s="62"/>
    </row>
    <row r="43" spans="1:20" ht="27" customHeight="1" x14ac:dyDescent="0.2">
      <c r="A43" s="267"/>
      <c r="B43" s="267"/>
      <c r="C43" s="317"/>
      <c r="D43" s="38" t="s">
        <v>91</v>
      </c>
      <c r="E43" s="63">
        <v>6456</v>
      </c>
      <c r="F43" s="63">
        <v>7</v>
      </c>
      <c r="G43" s="63">
        <v>184</v>
      </c>
      <c r="H43" s="9">
        <f>E43-(L43+O43+R43)-1800</f>
        <v>4656</v>
      </c>
      <c r="I43" s="9">
        <f t="shared" si="1"/>
        <v>7</v>
      </c>
      <c r="J43" s="9">
        <f>G43-(N43+Q43+T43)-44</f>
        <v>140</v>
      </c>
      <c r="K43" s="104" t="s">
        <v>223</v>
      </c>
      <c r="L43" s="60"/>
      <c r="M43" s="60"/>
      <c r="N43" s="60"/>
      <c r="O43" s="60"/>
      <c r="P43" s="60"/>
      <c r="Q43" s="60"/>
      <c r="R43" s="60"/>
      <c r="S43" s="60"/>
      <c r="T43" s="62"/>
    </row>
    <row r="44" spans="1:20" ht="27" customHeight="1" x14ac:dyDescent="0.2">
      <c r="A44" s="267"/>
      <c r="B44" s="267"/>
      <c r="C44" s="317"/>
      <c r="D44" s="38" t="s">
        <v>92</v>
      </c>
      <c r="E44" s="63">
        <v>11559</v>
      </c>
      <c r="F44" s="63">
        <v>8</v>
      </c>
      <c r="G44" s="63">
        <v>167</v>
      </c>
      <c r="H44" s="9">
        <f>E44-(L44+O44+R44)-3900</f>
        <v>7659</v>
      </c>
      <c r="I44" s="9">
        <f t="shared" si="1"/>
        <v>8</v>
      </c>
      <c r="J44" s="9">
        <f>G44-(N44+Q44+T44)-45</f>
        <v>122</v>
      </c>
      <c r="K44" s="104" t="s">
        <v>224</v>
      </c>
      <c r="L44" s="60"/>
      <c r="M44" s="60"/>
      <c r="N44" s="60"/>
      <c r="O44" s="60"/>
      <c r="P44" s="60"/>
      <c r="Q44" s="60"/>
      <c r="R44" s="60"/>
      <c r="S44" s="60"/>
      <c r="T44" s="62"/>
    </row>
    <row r="45" spans="1:20" ht="45" customHeight="1" x14ac:dyDescent="0.2">
      <c r="A45" s="267"/>
      <c r="B45" s="267"/>
      <c r="C45" s="317"/>
      <c r="D45" s="38" t="s">
        <v>93</v>
      </c>
      <c r="E45" s="63">
        <v>4430</v>
      </c>
      <c r="F45" s="63">
        <v>0</v>
      </c>
      <c r="G45" s="63">
        <v>133</v>
      </c>
      <c r="H45" s="9">
        <f>E45-(L45+O45+R45)+151</f>
        <v>4550</v>
      </c>
      <c r="I45" s="9">
        <f t="shared" si="1"/>
        <v>0</v>
      </c>
      <c r="J45" s="9">
        <f>G45-(N45+Q45+T45)+4</f>
        <v>136</v>
      </c>
      <c r="K45" s="104" t="s">
        <v>262</v>
      </c>
      <c r="L45" s="60"/>
      <c r="M45" s="60"/>
      <c r="N45" s="60"/>
      <c r="O45" s="60">
        <v>31</v>
      </c>
      <c r="P45" s="60">
        <v>0</v>
      </c>
      <c r="Q45" s="60">
        <v>1</v>
      </c>
      <c r="R45" s="60"/>
      <c r="S45" s="60"/>
      <c r="T45" s="62"/>
    </row>
    <row r="46" spans="1:20" ht="45" customHeight="1" x14ac:dyDescent="0.2">
      <c r="A46" s="267"/>
      <c r="B46" s="267"/>
      <c r="C46" s="317"/>
      <c r="D46" s="38" t="s">
        <v>225</v>
      </c>
      <c r="E46" s="63">
        <v>0</v>
      </c>
      <c r="F46" s="63">
        <v>0</v>
      </c>
      <c r="G46" s="63">
        <v>0</v>
      </c>
      <c r="H46" s="9">
        <f>5400+1800</f>
        <v>7200</v>
      </c>
      <c r="I46" s="9">
        <v>0</v>
      </c>
      <c r="J46" s="9">
        <f>60+44</f>
        <v>104</v>
      </c>
      <c r="K46" s="104" t="s">
        <v>226</v>
      </c>
      <c r="L46" s="60"/>
      <c r="M46" s="60"/>
      <c r="N46" s="60"/>
      <c r="O46" s="60"/>
      <c r="P46" s="60"/>
      <c r="Q46" s="60"/>
      <c r="R46" s="60"/>
      <c r="S46" s="60"/>
      <c r="T46" s="62"/>
    </row>
    <row r="47" spans="1:20" ht="45" customHeight="1" x14ac:dyDescent="0.2">
      <c r="A47" s="267"/>
      <c r="B47" s="267"/>
      <c r="C47" s="317"/>
      <c r="D47" s="38" t="s">
        <v>248</v>
      </c>
      <c r="E47" s="63">
        <v>0</v>
      </c>
      <c r="F47" s="63">
        <v>0</v>
      </c>
      <c r="G47" s="63">
        <v>0</v>
      </c>
      <c r="H47" s="9">
        <v>4606</v>
      </c>
      <c r="I47" s="9">
        <v>11</v>
      </c>
      <c r="J47" s="9">
        <v>156</v>
      </c>
      <c r="K47" s="104" t="s">
        <v>220</v>
      </c>
      <c r="L47" s="60"/>
      <c r="M47" s="60"/>
      <c r="N47" s="60"/>
      <c r="O47" s="60"/>
      <c r="P47" s="60"/>
      <c r="Q47" s="60"/>
      <c r="R47" s="60"/>
      <c r="S47" s="60"/>
      <c r="T47" s="62"/>
    </row>
    <row r="48" spans="1:20" ht="45" customHeight="1" x14ac:dyDescent="0.2">
      <c r="A48" s="267"/>
      <c r="B48" s="267"/>
      <c r="C48" s="317"/>
      <c r="D48" s="38" t="s">
        <v>134</v>
      </c>
      <c r="E48" s="63">
        <v>0</v>
      </c>
      <c r="F48" s="63">
        <v>0</v>
      </c>
      <c r="G48" s="63">
        <v>0</v>
      </c>
      <c r="H48" s="9">
        <v>4757</v>
      </c>
      <c r="I48" s="9" t="s">
        <v>249</v>
      </c>
      <c r="J48" s="9">
        <v>128</v>
      </c>
      <c r="K48" s="104" t="s">
        <v>220</v>
      </c>
      <c r="L48" s="60"/>
      <c r="M48" s="60"/>
      <c r="N48" s="60"/>
      <c r="O48" s="60"/>
      <c r="P48" s="60"/>
      <c r="Q48" s="60"/>
      <c r="R48" s="60"/>
      <c r="S48" s="60"/>
      <c r="T48" s="62"/>
    </row>
    <row r="49" spans="1:20" ht="45" customHeight="1" x14ac:dyDescent="0.2">
      <c r="A49" s="267"/>
      <c r="B49" s="267"/>
      <c r="C49" s="317"/>
      <c r="D49" s="38" t="s">
        <v>227</v>
      </c>
      <c r="E49" s="63">
        <v>0</v>
      </c>
      <c r="F49" s="63">
        <v>0</v>
      </c>
      <c r="G49" s="63">
        <v>0</v>
      </c>
      <c r="H49" s="9">
        <f>3900+1200</f>
        <v>5100</v>
      </c>
      <c r="I49" s="9">
        <v>0</v>
      </c>
      <c r="J49" s="9">
        <f>45+30</f>
        <v>75</v>
      </c>
      <c r="K49" s="104" t="s">
        <v>228</v>
      </c>
      <c r="L49" s="60"/>
      <c r="M49" s="60"/>
      <c r="N49" s="60"/>
      <c r="O49" s="60"/>
      <c r="P49" s="60"/>
      <c r="Q49" s="60"/>
      <c r="R49" s="60"/>
      <c r="S49" s="60"/>
      <c r="T49" s="62"/>
    </row>
    <row r="50" spans="1:20" ht="32.450000000000003" customHeight="1" x14ac:dyDescent="0.2">
      <c r="A50" s="267"/>
      <c r="B50" s="267"/>
      <c r="C50" s="318"/>
      <c r="D50" s="105" t="s">
        <v>52</v>
      </c>
      <c r="E50" s="106">
        <f>SUM(E42:E49)</f>
        <v>32889</v>
      </c>
      <c r="F50" s="106">
        <f>SUM(F42:F49)</f>
        <v>25</v>
      </c>
      <c r="G50" s="106">
        <f>SUM(G42:G49)</f>
        <v>693</v>
      </c>
      <c r="H50" s="106">
        <f>SUM(H42:H49)</f>
        <v>43572</v>
      </c>
      <c r="I50" s="106">
        <f>SUM(I42:I47)+15+I49</f>
        <v>51</v>
      </c>
      <c r="J50" s="106">
        <f>SUM(J42:J49)</f>
        <v>1010</v>
      </c>
      <c r="K50" s="77"/>
      <c r="L50" s="60"/>
      <c r="M50" s="60"/>
      <c r="N50" s="60"/>
      <c r="O50" s="60"/>
      <c r="P50" s="60"/>
      <c r="Q50" s="60"/>
      <c r="R50" s="60"/>
      <c r="S50" s="60"/>
      <c r="T50" s="62"/>
    </row>
    <row r="51" spans="1:20" ht="23.25" customHeight="1" x14ac:dyDescent="0.2">
      <c r="A51" s="267"/>
      <c r="B51" s="267"/>
      <c r="C51" s="316" t="s">
        <v>94</v>
      </c>
      <c r="D51" s="38" t="s">
        <v>95</v>
      </c>
      <c r="E51" s="63">
        <v>13216</v>
      </c>
      <c r="F51" s="63">
        <v>4</v>
      </c>
      <c r="G51" s="63">
        <v>129</v>
      </c>
      <c r="H51" s="9">
        <f t="shared" si="1"/>
        <v>13216</v>
      </c>
      <c r="I51" s="9">
        <f t="shared" si="1"/>
        <v>4</v>
      </c>
      <c r="J51" s="9">
        <f t="shared" si="1"/>
        <v>129</v>
      </c>
      <c r="K51" s="77"/>
      <c r="L51" s="63"/>
      <c r="M51" s="63"/>
      <c r="N51" s="63"/>
      <c r="O51" s="63"/>
      <c r="P51" s="63"/>
      <c r="Q51" s="63"/>
      <c r="R51" s="63"/>
      <c r="S51" s="62"/>
      <c r="T51" s="62"/>
    </row>
    <row r="52" spans="1:20" ht="28.15" customHeight="1" x14ac:dyDescent="0.2">
      <c r="A52" s="267"/>
      <c r="B52" s="267"/>
      <c r="C52" s="317"/>
      <c r="D52" s="38" t="s">
        <v>96</v>
      </c>
      <c r="E52" s="63">
        <v>20321</v>
      </c>
      <c r="F52" s="63">
        <v>5</v>
      </c>
      <c r="G52" s="63">
        <v>258</v>
      </c>
      <c r="H52" s="9">
        <f>E52-(L52+O52+R52)-1791-1200</f>
        <v>17330</v>
      </c>
      <c r="I52" s="9">
        <f t="shared" si="1"/>
        <v>5</v>
      </c>
      <c r="J52" s="9">
        <f>G52-(N52+Q52+T52)-20-30</f>
        <v>208</v>
      </c>
      <c r="K52" s="104" t="s">
        <v>229</v>
      </c>
      <c r="L52" s="63"/>
      <c r="M52" s="63"/>
      <c r="N52" s="63"/>
      <c r="O52" s="63"/>
      <c r="P52" s="63"/>
      <c r="Q52" s="63"/>
      <c r="R52" s="63"/>
      <c r="S52" s="62"/>
      <c r="T52" s="62"/>
    </row>
    <row r="53" spans="1:20" ht="23.25" customHeight="1" x14ac:dyDescent="0.2">
      <c r="A53" s="267"/>
      <c r="B53" s="267"/>
      <c r="C53" s="317"/>
      <c r="D53" s="38" t="s">
        <v>99</v>
      </c>
      <c r="E53" s="63">
        <v>18659</v>
      </c>
      <c r="F53" s="63">
        <v>6</v>
      </c>
      <c r="G53" s="63">
        <v>225</v>
      </c>
      <c r="H53" s="9">
        <f>E53-(L53+O53+R53)-1477</f>
        <v>17182</v>
      </c>
      <c r="I53" s="9">
        <f t="shared" si="1"/>
        <v>6</v>
      </c>
      <c r="J53" s="9">
        <f>G53-(N53+Q53+T53)-14</f>
        <v>211</v>
      </c>
      <c r="K53" s="109" t="s">
        <v>231</v>
      </c>
      <c r="L53" s="63"/>
      <c r="M53" s="63"/>
      <c r="N53" s="63"/>
      <c r="O53" s="63"/>
      <c r="P53" s="63"/>
      <c r="Q53" s="63"/>
      <c r="R53" s="63"/>
      <c r="S53" s="62"/>
      <c r="T53" s="62"/>
    </row>
    <row r="54" spans="1:20" ht="35.450000000000003" customHeight="1" x14ac:dyDescent="0.2">
      <c r="A54" s="267"/>
      <c r="B54" s="267"/>
      <c r="C54" s="317"/>
      <c r="D54" s="38" t="s">
        <v>101</v>
      </c>
      <c r="E54" s="63">
        <v>13915</v>
      </c>
      <c r="F54" s="63">
        <v>9</v>
      </c>
      <c r="G54" s="63">
        <v>164</v>
      </c>
      <c r="H54" s="9">
        <f>E54-(L54+O54+R54)+1791</f>
        <v>15706</v>
      </c>
      <c r="I54" s="9">
        <f t="shared" si="1"/>
        <v>9</v>
      </c>
      <c r="J54" s="9">
        <f>G54-(N54+Q54+T54)+20</f>
        <v>184</v>
      </c>
      <c r="K54" s="109" t="s">
        <v>239</v>
      </c>
      <c r="L54" s="63"/>
      <c r="M54" s="63"/>
      <c r="N54" s="63"/>
      <c r="O54" s="63"/>
      <c r="P54" s="63"/>
      <c r="Q54" s="63"/>
      <c r="R54" s="63"/>
      <c r="S54" s="62"/>
      <c r="T54" s="62"/>
    </row>
    <row r="55" spans="1:20" ht="35.450000000000003" customHeight="1" x14ac:dyDescent="0.2">
      <c r="A55" s="267"/>
      <c r="B55" s="267"/>
      <c r="C55" s="317"/>
      <c r="D55" s="38" t="s">
        <v>136</v>
      </c>
      <c r="E55" s="63">
        <v>0</v>
      </c>
      <c r="F55" s="63">
        <v>0</v>
      </c>
      <c r="G55" s="63">
        <v>0</v>
      </c>
      <c r="H55" s="9">
        <v>9464</v>
      </c>
      <c r="I55" s="9">
        <v>4</v>
      </c>
      <c r="J55" s="9">
        <v>135</v>
      </c>
      <c r="K55" s="109" t="s">
        <v>247</v>
      </c>
      <c r="L55" s="63"/>
      <c r="M55" s="63"/>
      <c r="N55" s="63"/>
      <c r="O55" s="63"/>
      <c r="P55" s="63"/>
      <c r="Q55" s="63"/>
      <c r="R55" s="63"/>
      <c r="S55" s="62"/>
      <c r="T55" s="62"/>
    </row>
    <row r="56" spans="1:20" ht="35.450000000000003" customHeight="1" x14ac:dyDescent="0.2">
      <c r="A56" s="267"/>
      <c r="B56" s="267"/>
      <c r="C56" s="317"/>
      <c r="D56" s="38" t="s">
        <v>246</v>
      </c>
      <c r="E56" s="63">
        <v>0</v>
      </c>
      <c r="F56" s="63">
        <v>0</v>
      </c>
      <c r="G56" s="63">
        <v>0</v>
      </c>
      <c r="H56" s="9">
        <v>8815</v>
      </c>
      <c r="I56" s="9">
        <v>10</v>
      </c>
      <c r="J56" s="9">
        <v>268</v>
      </c>
      <c r="K56" s="109" t="s">
        <v>247</v>
      </c>
      <c r="L56" s="63"/>
      <c r="M56" s="63"/>
      <c r="N56" s="63"/>
      <c r="O56" s="63"/>
      <c r="P56" s="63"/>
      <c r="Q56" s="63"/>
      <c r="R56" s="63"/>
      <c r="S56" s="62"/>
      <c r="T56" s="62"/>
    </row>
    <row r="57" spans="1:20" ht="32.450000000000003" customHeight="1" x14ac:dyDescent="0.2">
      <c r="A57" s="267"/>
      <c r="B57" s="267"/>
      <c r="C57" s="317"/>
      <c r="D57" s="38" t="s">
        <v>103</v>
      </c>
      <c r="E57" s="63">
        <v>6995</v>
      </c>
      <c r="F57" s="63">
        <v>11</v>
      </c>
      <c r="G57" s="63">
        <v>96</v>
      </c>
      <c r="H57" s="9">
        <f>E57-(L57+O57+R57)+1477+3900</f>
        <v>12372</v>
      </c>
      <c r="I57" s="9">
        <f t="shared" si="1"/>
        <v>11</v>
      </c>
      <c r="J57" s="9">
        <f>G57-(N57+Q57+T57)+14+15</f>
        <v>125</v>
      </c>
      <c r="K57" s="104" t="s">
        <v>254</v>
      </c>
      <c r="L57" s="63"/>
      <c r="M57" s="63"/>
      <c r="N57" s="63"/>
      <c r="O57" s="63"/>
      <c r="P57" s="63"/>
      <c r="Q57" s="63"/>
      <c r="R57" s="63"/>
      <c r="S57" s="62"/>
      <c r="T57" s="62"/>
    </row>
    <row r="58" spans="1:20" ht="26.25" customHeight="1" x14ac:dyDescent="0.2">
      <c r="A58" s="267"/>
      <c r="B58" s="267"/>
      <c r="C58" s="318"/>
      <c r="D58" s="105" t="s">
        <v>52</v>
      </c>
      <c r="E58" s="106">
        <f>SUM(E51:E57)</f>
        <v>73106</v>
      </c>
      <c r="F58" s="106">
        <f>SUM(F51:F57)</f>
        <v>35</v>
      </c>
      <c r="G58" s="106">
        <f>SUM(G51:G57)</f>
        <v>872</v>
      </c>
      <c r="H58" s="106">
        <f t="shared" ref="H58:J58" si="9">SUM(H51:H57)</f>
        <v>94085</v>
      </c>
      <c r="I58" s="106">
        <f t="shared" si="9"/>
        <v>49</v>
      </c>
      <c r="J58" s="106">
        <f t="shared" si="9"/>
        <v>1260</v>
      </c>
      <c r="K58" s="77"/>
      <c r="L58" s="63"/>
      <c r="M58" s="63"/>
      <c r="N58" s="63"/>
      <c r="O58" s="63"/>
      <c r="P58" s="63"/>
      <c r="Q58" s="63"/>
      <c r="R58" s="63"/>
      <c r="S58" s="62"/>
      <c r="T58" s="62"/>
    </row>
    <row r="59" spans="1:20" ht="45.75" customHeight="1" x14ac:dyDescent="0.2">
      <c r="A59" s="267"/>
      <c r="B59" s="267"/>
      <c r="C59" s="316" t="s">
        <v>104</v>
      </c>
      <c r="D59" s="38" t="s">
        <v>105</v>
      </c>
      <c r="E59" s="63">
        <v>11763</v>
      </c>
      <c r="F59" s="63">
        <v>17</v>
      </c>
      <c r="G59" s="63">
        <v>151</v>
      </c>
      <c r="H59" s="9">
        <f t="shared" si="1"/>
        <v>0</v>
      </c>
      <c r="I59" s="9">
        <f t="shared" si="1"/>
        <v>0</v>
      </c>
      <c r="J59" s="9">
        <f t="shared" si="1"/>
        <v>0</v>
      </c>
      <c r="K59" s="104" t="s">
        <v>171</v>
      </c>
      <c r="L59" s="60"/>
      <c r="M59" s="60"/>
      <c r="N59" s="60"/>
      <c r="O59" s="60"/>
      <c r="P59" s="60"/>
      <c r="Q59" s="60"/>
      <c r="R59" s="60">
        <v>11763</v>
      </c>
      <c r="S59" s="60">
        <v>17</v>
      </c>
      <c r="T59" s="60">
        <v>151</v>
      </c>
    </row>
    <row r="60" spans="1:20" ht="52.5" customHeight="1" x14ac:dyDescent="0.2">
      <c r="A60" s="267"/>
      <c r="B60" s="267"/>
      <c r="C60" s="317"/>
      <c r="D60" s="38" t="s">
        <v>106</v>
      </c>
      <c r="E60" s="63">
        <v>6967</v>
      </c>
      <c r="F60" s="63">
        <v>11</v>
      </c>
      <c r="G60" s="63">
        <v>157</v>
      </c>
      <c r="H60" s="9">
        <f>E60-(L60+O60+R60)+19</f>
        <v>3979</v>
      </c>
      <c r="I60" s="9">
        <f>F60-(M60+P60+S60)+1</f>
        <v>6</v>
      </c>
      <c r="J60" s="9">
        <f>G60-(N60+Q60+T60)+1</f>
        <v>76</v>
      </c>
      <c r="K60" s="104" t="s">
        <v>263</v>
      </c>
      <c r="L60" s="60"/>
      <c r="M60" s="60"/>
      <c r="N60" s="60"/>
      <c r="O60" s="60">
        <v>301</v>
      </c>
      <c r="P60" s="60">
        <v>0</v>
      </c>
      <c r="Q60" s="60">
        <v>2</v>
      </c>
      <c r="R60" s="60">
        <v>2706</v>
      </c>
      <c r="S60" s="60">
        <v>6</v>
      </c>
      <c r="T60" s="60">
        <v>80</v>
      </c>
    </row>
    <row r="61" spans="1:20" ht="35.25" customHeight="1" x14ac:dyDescent="0.2">
      <c r="A61" s="267"/>
      <c r="B61" s="267"/>
      <c r="C61" s="317"/>
      <c r="D61" s="38" t="s">
        <v>107</v>
      </c>
      <c r="E61" s="63">
        <v>6206</v>
      </c>
      <c r="F61" s="63">
        <v>5</v>
      </c>
      <c r="G61" s="63">
        <v>135</v>
      </c>
      <c r="H61" s="9">
        <f t="shared" si="1"/>
        <v>0</v>
      </c>
      <c r="I61" s="9">
        <f t="shared" si="1"/>
        <v>0</v>
      </c>
      <c r="J61" s="9">
        <f t="shared" si="1"/>
        <v>0</v>
      </c>
      <c r="K61" s="104" t="s">
        <v>171</v>
      </c>
      <c r="L61" s="60"/>
      <c r="M61" s="60"/>
      <c r="N61" s="60"/>
      <c r="O61" s="60"/>
      <c r="P61" s="60"/>
      <c r="Q61" s="60"/>
      <c r="R61" s="60">
        <v>6206</v>
      </c>
      <c r="S61" s="60">
        <v>5</v>
      </c>
      <c r="T61" s="60">
        <v>135</v>
      </c>
    </row>
    <row r="62" spans="1:20" ht="35.25" customHeight="1" x14ac:dyDescent="0.2">
      <c r="A62" s="267"/>
      <c r="B62" s="267"/>
      <c r="C62" s="317"/>
      <c r="D62" s="38" t="s">
        <v>108</v>
      </c>
      <c r="E62" s="63">
        <v>8035</v>
      </c>
      <c r="F62" s="63">
        <v>12</v>
      </c>
      <c r="G62" s="63">
        <v>177</v>
      </c>
      <c r="H62" s="9">
        <f t="shared" si="1"/>
        <v>6595</v>
      </c>
      <c r="I62" s="9">
        <f t="shared" si="1"/>
        <v>12</v>
      </c>
      <c r="J62" s="9">
        <f t="shared" si="1"/>
        <v>132</v>
      </c>
      <c r="K62" s="104" t="s">
        <v>172</v>
      </c>
      <c r="L62" s="60"/>
      <c r="M62" s="60"/>
      <c r="N62" s="60"/>
      <c r="O62" s="60"/>
      <c r="P62" s="60"/>
      <c r="Q62" s="60"/>
      <c r="R62" s="60">
        <v>1440</v>
      </c>
      <c r="S62" s="60">
        <v>0</v>
      </c>
      <c r="T62" s="60">
        <v>45</v>
      </c>
    </row>
    <row r="63" spans="1:20" ht="37.5" customHeight="1" x14ac:dyDescent="0.2">
      <c r="A63" s="267"/>
      <c r="B63" s="267"/>
      <c r="C63" s="317"/>
      <c r="D63" s="38" t="s">
        <v>109</v>
      </c>
      <c r="E63" s="63">
        <v>5270</v>
      </c>
      <c r="F63" s="63">
        <v>12</v>
      </c>
      <c r="G63" s="63">
        <v>114</v>
      </c>
      <c r="H63" s="9">
        <f t="shared" si="1"/>
        <v>3352</v>
      </c>
      <c r="I63" s="9">
        <f t="shared" si="1"/>
        <v>6</v>
      </c>
      <c r="J63" s="9">
        <f t="shared" si="1"/>
        <v>82</v>
      </c>
      <c r="K63" s="104" t="s">
        <v>172</v>
      </c>
      <c r="L63" s="60"/>
      <c r="M63" s="60"/>
      <c r="N63" s="60"/>
      <c r="O63" s="60"/>
      <c r="P63" s="60"/>
      <c r="Q63" s="60"/>
      <c r="R63" s="60">
        <v>1918</v>
      </c>
      <c r="S63" s="60">
        <v>6</v>
      </c>
      <c r="T63" s="60">
        <v>32</v>
      </c>
    </row>
    <row r="64" spans="1:20" ht="26.25" customHeight="1" x14ac:dyDescent="0.2">
      <c r="A64" s="267"/>
      <c r="B64" s="268"/>
      <c r="C64" s="318"/>
      <c r="D64" s="105" t="s">
        <v>52</v>
      </c>
      <c r="E64" s="106">
        <f>SUM(E59:E63)</f>
        <v>38241</v>
      </c>
      <c r="F64" s="106">
        <f>SUM(F59:F63)</f>
        <v>57</v>
      </c>
      <c r="G64" s="106">
        <f>SUM(G59:G63)</f>
        <v>734</v>
      </c>
      <c r="H64" s="106">
        <f t="shared" ref="H64:J64" si="10">SUM(H59:H63)</f>
        <v>13926</v>
      </c>
      <c r="I64" s="106">
        <f t="shared" si="10"/>
        <v>24</v>
      </c>
      <c r="J64" s="106">
        <f t="shared" si="10"/>
        <v>290</v>
      </c>
      <c r="K64" s="77"/>
      <c r="L64" s="60"/>
      <c r="M64" s="60"/>
      <c r="N64" s="60"/>
      <c r="O64" s="60"/>
      <c r="P64" s="60"/>
      <c r="Q64" s="60"/>
      <c r="R64" s="60"/>
      <c r="S64" s="60"/>
      <c r="T64" s="60"/>
    </row>
    <row r="65" spans="1:20" ht="26.25" customHeight="1" x14ac:dyDescent="0.2">
      <c r="A65" s="267"/>
      <c r="B65" s="311" t="s">
        <v>110</v>
      </c>
      <c r="C65" s="311"/>
      <c r="D65" s="311"/>
      <c r="E65" s="64">
        <f>E64+E58+E50+E41</f>
        <v>188680</v>
      </c>
      <c r="F65" s="64">
        <f>F64+F58+F50+F41</f>
        <v>134</v>
      </c>
      <c r="G65" s="64">
        <f>G64+G58+G50+G41</f>
        <v>2961</v>
      </c>
      <c r="H65" s="64">
        <f t="shared" ref="H65:J65" si="11">H64+H58+H50+H41</f>
        <v>195193</v>
      </c>
      <c r="I65" s="64">
        <f t="shared" si="11"/>
        <v>139</v>
      </c>
      <c r="J65" s="64">
        <f t="shared" si="11"/>
        <v>3212</v>
      </c>
      <c r="K65" s="77"/>
      <c r="L65" s="60">
        <f t="shared" ref="L65:T65" si="12">SUM(L35:L64)</f>
        <v>0</v>
      </c>
      <c r="M65" s="60">
        <f t="shared" si="12"/>
        <v>0</v>
      </c>
      <c r="N65" s="60">
        <f t="shared" si="12"/>
        <v>0</v>
      </c>
      <c r="O65" s="60">
        <f t="shared" si="12"/>
        <v>1166</v>
      </c>
      <c r="P65" s="60">
        <f t="shared" si="12"/>
        <v>0</v>
      </c>
      <c r="Q65" s="60">
        <f t="shared" si="12"/>
        <v>13</v>
      </c>
      <c r="R65" s="60">
        <f t="shared" si="12"/>
        <v>24033</v>
      </c>
      <c r="S65" s="60">
        <f t="shared" si="12"/>
        <v>34</v>
      </c>
      <c r="T65" s="60">
        <f t="shared" si="12"/>
        <v>443</v>
      </c>
    </row>
    <row r="66" spans="1:20" ht="26.25" customHeight="1" x14ac:dyDescent="0.2">
      <c r="A66" s="111"/>
      <c r="B66" s="79"/>
      <c r="C66" s="312" t="s">
        <v>255</v>
      </c>
      <c r="D66" s="313"/>
      <c r="E66" s="313"/>
      <c r="F66" s="313"/>
      <c r="G66" s="313"/>
      <c r="H66" s="313"/>
      <c r="I66" s="313"/>
      <c r="J66" s="314"/>
      <c r="K66" s="77"/>
      <c r="L66" s="112"/>
      <c r="M66" s="112"/>
      <c r="N66" s="112"/>
      <c r="O66" s="112"/>
      <c r="P66" s="112"/>
      <c r="Q66" s="112"/>
      <c r="R66" s="112"/>
      <c r="S66" s="112"/>
      <c r="T66" s="112"/>
    </row>
    <row r="67" spans="1:20" ht="33.6" customHeight="1" x14ac:dyDescent="0.2">
      <c r="B67" s="315" t="s">
        <v>232</v>
      </c>
      <c r="C67" s="316" t="s">
        <v>217</v>
      </c>
      <c r="D67" s="13" t="s">
        <v>66</v>
      </c>
      <c r="E67" s="13">
        <v>15030</v>
      </c>
      <c r="F67" s="13">
        <v>8</v>
      </c>
      <c r="G67" s="13">
        <v>196</v>
      </c>
      <c r="H67" s="13">
        <f t="shared" ref="H67:H71" si="13">E67-(L67+O67+R67)</f>
        <v>15030</v>
      </c>
      <c r="I67" s="13">
        <f t="shared" ref="I67:I71" si="14">F67-(M67+P67+S67)</f>
        <v>8</v>
      </c>
      <c r="J67" s="13">
        <f t="shared" ref="J67:J71" si="15">G67-(N67+Q67+T67)</f>
        <v>196</v>
      </c>
      <c r="K67" s="13" t="s">
        <v>240</v>
      </c>
    </row>
    <row r="68" spans="1:20" ht="33.6" customHeight="1" x14ac:dyDescent="0.2">
      <c r="B68" s="315"/>
      <c r="C68" s="317"/>
      <c r="D68" s="13" t="s">
        <v>67</v>
      </c>
      <c r="E68" s="13">
        <v>4148</v>
      </c>
      <c r="F68" s="13">
        <v>6</v>
      </c>
      <c r="G68" s="13">
        <v>92</v>
      </c>
      <c r="H68" s="13">
        <f t="shared" si="13"/>
        <v>4148</v>
      </c>
      <c r="I68" s="13">
        <f t="shared" si="14"/>
        <v>6</v>
      </c>
      <c r="J68" s="13">
        <f t="shared" si="15"/>
        <v>92</v>
      </c>
      <c r="K68" s="13" t="s">
        <v>240</v>
      </c>
    </row>
    <row r="69" spans="1:20" ht="33.6" customHeight="1" x14ac:dyDescent="0.2">
      <c r="B69" s="315"/>
      <c r="C69" s="317"/>
      <c r="D69" s="13" t="s">
        <v>68</v>
      </c>
      <c r="E69" s="13">
        <v>7366</v>
      </c>
      <c r="F69" s="13">
        <v>1</v>
      </c>
      <c r="G69" s="13">
        <v>195</v>
      </c>
      <c r="H69" s="13">
        <f t="shared" si="13"/>
        <v>7366</v>
      </c>
      <c r="I69" s="13">
        <f t="shared" si="14"/>
        <v>1</v>
      </c>
      <c r="J69" s="13">
        <f t="shared" si="15"/>
        <v>195</v>
      </c>
      <c r="K69" s="13" t="s">
        <v>240</v>
      </c>
    </row>
    <row r="70" spans="1:20" ht="33.6" customHeight="1" x14ac:dyDescent="0.2">
      <c r="B70" s="315"/>
      <c r="C70" s="317"/>
      <c r="D70" s="13" t="s">
        <v>70</v>
      </c>
      <c r="E70" s="13">
        <v>6178</v>
      </c>
      <c r="F70" s="13">
        <v>1</v>
      </c>
      <c r="G70" s="13">
        <v>155</v>
      </c>
      <c r="H70" s="13">
        <f t="shared" si="13"/>
        <v>6178</v>
      </c>
      <c r="I70" s="13">
        <f t="shared" si="14"/>
        <v>1</v>
      </c>
      <c r="J70" s="13">
        <f t="shared" si="15"/>
        <v>155</v>
      </c>
      <c r="K70" s="13" t="s">
        <v>240</v>
      </c>
    </row>
    <row r="71" spans="1:20" ht="33.6" customHeight="1" x14ac:dyDescent="0.2">
      <c r="B71" s="315"/>
      <c r="C71" s="317"/>
      <c r="D71" s="13" t="s">
        <v>72</v>
      </c>
      <c r="E71" s="13">
        <v>12826</v>
      </c>
      <c r="F71" s="13">
        <v>2</v>
      </c>
      <c r="G71" s="13">
        <v>203</v>
      </c>
      <c r="H71" s="13">
        <f t="shared" si="13"/>
        <v>12826</v>
      </c>
      <c r="I71" s="13">
        <f t="shared" si="14"/>
        <v>2</v>
      </c>
      <c r="J71" s="13">
        <f t="shared" si="15"/>
        <v>203</v>
      </c>
      <c r="K71" s="13" t="s">
        <v>240</v>
      </c>
    </row>
    <row r="72" spans="1:20" ht="33.6" customHeight="1" x14ac:dyDescent="0.2">
      <c r="B72" s="315"/>
      <c r="C72" s="318"/>
      <c r="D72" s="14" t="s">
        <v>52</v>
      </c>
      <c r="E72" s="14">
        <f>SUM(E67:E71)</f>
        <v>45548</v>
      </c>
      <c r="F72" s="14">
        <f t="shared" ref="F72:J72" si="16">SUM(F67:F71)</f>
        <v>18</v>
      </c>
      <c r="G72" s="14">
        <f t="shared" si="16"/>
        <v>841</v>
      </c>
      <c r="H72" s="14">
        <f t="shared" si="16"/>
        <v>45548</v>
      </c>
      <c r="I72" s="14">
        <f t="shared" si="16"/>
        <v>18</v>
      </c>
      <c r="J72" s="14">
        <f t="shared" si="16"/>
        <v>841</v>
      </c>
      <c r="K72" s="14"/>
    </row>
    <row r="73" spans="1:20" ht="32.450000000000003" customHeight="1" x14ac:dyDescent="0.2">
      <c r="B73" s="315"/>
      <c r="C73" s="316" t="s">
        <v>218</v>
      </c>
      <c r="D73" s="13" t="s">
        <v>74</v>
      </c>
      <c r="E73" s="13">
        <v>4418</v>
      </c>
      <c r="F73" s="13">
        <v>7</v>
      </c>
      <c r="G73" s="13">
        <v>111</v>
      </c>
      <c r="H73" s="13">
        <v>4418</v>
      </c>
      <c r="I73" s="13">
        <v>7</v>
      </c>
      <c r="J73" s="13">
        <v>111</v>
      </c>
      <c r="K73" s="13" t="s">
        <v>241</v>
      </c>
    </row>
    <row r="74" spans="1:20" ht="32.450000000000003" customHeight="1" x14ac:dyDescent="0.2">
      <c r="B74" s="315"/>
      <c r="C74" s="317"/>
      <c r="D74" s="13" t="s">
        <v>75</v>
      </c>
      <c r="E74" s="13">
        <v>8281</v>
      </c>
      <c r="F74" s="13">
        <v>2</v>
      </c>
      <c r="G74" s="13">
        <v>211</v>
      </c>
      <c r="H74" s="13">
        <v>5850</v>
      </c>
      <c r="I74" s="13">
        <v>1</v>
      </c>
      <c r="J74" s="13">
        <v>157</v>
      </c>
      <c r="K74" s="13" t="s">
        <v>259</v>
      </c>
    </row>
    <row r="75" spans="1:20" ht="32.450000000000003" customHeight="1" x14ac:dyDescent="0.2">
      <c r="B75" s="315"/>
      <c r="C75" s="317"/>
      <c r="D75" s="13" t="s">
        <v>76</v>
      </c>
      <c r="E75" s="13">
        <v>7523</v>
      </c>
      <c r="F75" s="13">
        <v>2</v>
      </c>
      <c r="G75" s="13">
        <v>159</v>
      </c>
      <c r="H75" s="13">
        <v>7523</v>
      </c>
      <c r="I75" s="13">
        <v>2</v>
      </c>
      <c r="J75" s="13">
        <v>159</v>
      </c>
      <c r="K75" s="13" t="s">
        <v>241</v>
      </c>
    </row>
    <row r="76" spans="1:20" ht="32.450000000000003" customHeight="1" x14ac:dyDescent="0.2">
      <c r="B76" s="315"/>
      <c r="C76" s="317"/>
      <c r="D76" s="13" t="s">
        <v>77</v>
      </c>
      <c r="E76" s="13">
        <v>4265</v>
      </c>
      <c r="F76" s="13">
        <v>4</v>
      </c>
      <c r="G76" s="13">
        <v>115</v>
      </c>
      <c r="H76" s="13">
        <v>4265</v>
      </c>
      <c r="I76" s="13">
        <v>4</v>
      </c>
      <c r="J76" s="13">
        <v>115</v>
      </c>
      <c r="K76" s="13" t="s">
        <v>241</v>
      </c>
    </row>
    <row r="77" spans="1:20" ht="32.450000000000003" customHeight="1" x14ac:dyDescent="0.2">
      <c r="B77" s="315"/>
      <c r="C77" s="317"/>
      <c r="D77" s="13" t="s">
        <v>78</v>
      </c>
      <c r="E77" s="13">
        <v>5731</v>
      </c>
      <c r="F77" s="13">
        <v>5</v>
      </c>
      <c r="G77" s="13">
        <v>107</v>
      </c>
      <c r="H77" s="13">
        <v>5731</v>
      </c>
      <c r="I77" s="13">
        <v>5</v>
      </c>
      <c r="J77" s="13">
        <v>107</v>
      </c>
      <c r="K77" s="13" t="s">
        <v>241</v>
      </c>
    </row>
    <row r="78" spans="1:20" ht="32.450000000000003" customHeight="1" x14ac:dyDescent="0.2">
      <c r="B78" s="315"/>
      <c r="C78" s="318"/>
      <c r="D78" s="14" t="s">
        <v>52</v>
      </c>
      <c r="E78" s="14">
        <v>30218</v>
      </c>
      <c r="F78" s="14">
        <v>20</v>
      </c>
      <c r="G78" s="14">
        <v>703</v>
      </c>
      <c r="H78" s="14">
        <f>SUM(H73:H77)</f>
        <v>27787</v>
      </c>
      <c r="I78" s="14">
        <v>20</v>
      </c>
      <c r="J78" s="14">
        <f>SUM(J73:J77)</f>
        <v>649</v>
      </c>
      <c r="K78" s="13"/>
    </row>
    <row r="79" spans="1:20" ht="34.9" customHeight="1" x14ac:dyDescent="0.2">
      <c r="B79" s="315"/>
      <c r="C79" s="316" t="s">
        <v>256</v>
      </c>
      <c r="D79" s="13" t="s">
        <v>97</v>
      </c>
      <c r="E79" s="13">
        <v>11517</v>
      </c>
      <c r="F79" s="13">
        <v>2</v>
      </c>
      <c r="G79" s="13">
        <v>160</v>
      </c>
      <c r="H79" s="13">
        <f t="shared" ref="H79" si="17">E79-(L79+O79+R79)</f>
        <v>11517</v>
      </c>
      <c r="I79" s="13">
        <f t="shared" ref="I79:I83" si="18">F79-(M79+P79+S79)</f>
        <v>2</v>
      </c>
      <c r="J79" s="13">
        <f t="shared" ref="J79" si="19">G79-(N79+Q79+T79)</f>
        <v>160</v>
      </c>
      <c r="K79" s="13"/>
    </row>
    <row r="80" spans="1:20" ht="40.9" customHeight="1" x14ac:dyDescent="0.2">
      <c r="B80" s="315"/>
      <c r="C80" s="317"/>
      <c r="D80" s="13" t="s">
        <v>98</v>
      </c>
      <c r="E80" s="13">
        <v>18852</v>
      </c>
      <c r="F80" s="13">
        <v>10</v>
      </c>
      <c r="G80" s="13">
        <v>236</v>
      </c>
      <c r="H80" s="13">
        <f>E80-(L80+O80+R80)-6877</f>
        <v>11975</v>
      </c>
      <c r="I80" s="13">
        <f t="shared" si="18"/>
        <v>10</v>
      </c>
      <c r="J80" s="13">
        <f>G80-(N80+Q80+T80)-98</f>
        <v>138</v>
      </c>
      <c r="K80" s="13" t="s">
        <v>230</v>
      </c>
    </row>
    <row r="81" spans="2:11" ht="54" customHeight="1" x14ac:dyDescent="0.2">
      <c r="B81" s="315"/>
      <c r="C81" s="317"/>
      <c r="D81" s="13" t="s">
        <v>100</v>
      </c>
      <c r="E81" s="13">
        <v>24952</v>
      </c>
      <c r="F81" s="13">
        <v>6</v>
      </c>
      <c r="G81" s="13">
        <v>280</v>
      </c>
      <c r="H81" s="13">
        <f>E81-(L81+O81+R81)-2100-3900-1300</f>
        <v>17652</v>
      </c>
      <c r="I81" s="13">
        <f t="shared" si="18"/>
        <v>6</v>
      </c>
      <c r="J81" s="13">
        <f>G81-(N81+Q81+T81)-30-15-15</f>
        <v>220</v>
      </c>
      <c r="K81" s="13" t="s">
        <v>264</v>
      </c>
    </row>
    <row r="82" spans="2:11" ht="43.15" customHeight="1" x14ac:dyDescent="0.2">
      <c r="B82" s="315"/>
      <c r="C82" s="317"/>
      <c r="D82" s="13" t="s">
        <v>102</v>
      </c>
      <c r="E82" s="13">
        <v>15923</v>
      </c>
      <c r="F82" s="13">
        <v>1</v>
      </c>
      <c r="G82" s="13">
        <v>160</v>
      </c>
      <c r="H82" s="13">
        <f>E82-(L82+O82+R82)+1300</f>
        <v>17223</v>
      </c>
      <c r="I82" s="13">
        <f t="shared" si="18"/>
        <v>1</v>
      </c>
      <c r="J82" s="13">
        <f>G82-(N82+Q82+T82)+15</f>
        <v>175</v>
      </c>
      <c r="K82" s="13" t="s">
        <v>243</v>
      </c>
    </row>
    <row r="83" spans="2:11" ht="45" customHeight="1" x14ac:dyDescent="0.2">
      <c r="B83" s="315"/>
      <c r="C83" s="317"/>
      <c r="D83" s="13" t="s">
        <v>242</v>
      </c>
      <c r="E83" s="13">
        <v>0</v>
      </c>
      <c r="F83" s="13">
        <v>0</v>
      </c>
      <c r="G83" s="13">
        <v>0</v>
      </c>
      <c r="H83" s="13">
        <f>6877+2100</f>
        <v>8977</v>
      </c>
      <c r="I83" s="13">
        <f t="shared" si="18"/>
        <v>0</v>
      </c>
      <c r="J83" s="13">
        <f>98+30</f>
        <v>128</v>
      </c>
      <c r="K83" s="13" t="s">
        <v>258</v>
      </c>
    </row>
    <row r="84" spans="2:11" ht="34.9" customHeight="1" x14ac:dyDescent="0.2">
      <c r="B84" s="315"/>
      <c r="C84" s="317"/>
      <c r="D84" s="14" t="s">
        <v>52</v>
      </c>
      <c r="E84" s="14">
        <f>SUM(E79:E83)</f>
        <v>71244</v>
      </c>
      <c r="F84" s="14">
        <f>SUM(F79:F83)</f>
        <v>19</v>
      </c>
      <c r="G84" s="14">
        <f>SUM(G79:G83)</f>
        <v>836</v>
      </c>
      <c r="H84" s="14">
        <f>SUM(H79:H83)</f>
        <v>67344</v>
      </c>
      <c r="I84" s="14">
        <f t="shared" ref="I84" si="20">SUM(I79:I82)</f>
        <v>19</v>
      </c>
      <c r="J84" s="14">
        <f>SUM(J79:J83)</f>
        <v>821</v>
      </c>
      <c r="K84" s="13"/>
    </row>
    <row r="85" spans="2:11" ht="36.6" customHeight="1" x14ac:dyDescent="0.2">
      <c r="B85" s="315"/>
      <c r="C85" s="317" t="s">
        <v>233</v>
      </c>
      <c r="D85" s="13" t="s">
        <v>237</v>
      </c>
      <c r="E85" s="13">
        <v>0</v>
      </c>
      <c r="F85" s="13">
        <v>0</v>
      </c>
      <c r="G85" s="13">
        <v>0</v>
      </c>
      <c r="H85" s="13">
        <v>5514</v>
      </c>
      <c r="I85" s="13">
        <v>1</v>
      </c>
      <c r="J85" s="13">
        <v>93</v>
      </c>
      <c r="K85" s="13" t="s">
        <v>238</v>
      </c>
    </row>
    <row r="86" spans="2:11" ht="36.6" customHeight="1" x14ac:dyDescent="0.2">
      <c r="B86" s="315"/>
      <c r="C86" s="317"/>
      <c r="D86" s="13" t="s">
        <v>235</v>
      </c>
      <c r="E86" s="13">
        <v>0</v>
      </c>
      <c r="F86" s="13">
        <v>0</v>
      </c>
      <c r="G86" s="13">
        <v>0</v>
      </c>
      <c r="H86" s="13">
        <v>3727</v>
      </c>
      <c r="I86" s="13">
        <v>1</v>
      </c>
      <c r="J86" s="13">
        <v>75</v>
      </c>
      <c r="K86" s="13" t="s">
        <v>238</v>
      </c>
    </row>
    <row r="87" spans="2:11" ht="36.6" customHeight="1" x14ac:dyDescent="0.2">
      <c r="B87" s="315"/>
      <c r="C87" s="317"/>
      <c r="D87" s="13" t="s">
        <v>236</v>
      </c>
      <c r="E87" s="13">
        <v>0</v>
      </c>
      <c r="F87" s="13">
        <v>0</v>
      </c>
      <c r="G87" s="13">
        <v>0</v>
      </c>
      <c r="H87" s="13">
        <v>5680</v>
      </c>
      <c r="I87" s="13">
        <v>3</v>
      </c>
      <c r="J87" s="13">
        <v>89</v>
      </c>
      <c r="K87" s="13" t="s">
        <v>238</v>
      </c>
    </row>
    <row r="88" spans="2:11" ht="56.45" customHeight="1" x14ac:dyDescent="0.2">
      <c r="B88" s="315"/>
      <c r="C88" s="317"/>
      <c r="D88" s="13" t="s">
        <v>234</v>
      </c>
      <c r="E88" s="13">
        <v>0</v>
      </c>
      <c r="F88" s="13">
        <v>0</v>
      </c>
      <c r="G88" s="13">
        <v>0</v>
      </c>
      <c r="H88" s="13">
        <f>10534+1288+202</f>
        <v>12024</v>
      </c>
      <c r="I88" s="13">
        <v>3</v>
      </c>
      <c r="J88" s="13">
        <f>175+28+0</f>
        <v>203</v>
      </c>
      <c r="K88" s="13" t="s">
        <v>257</v>
      </c>
    </row>
    <row r="89" spans="2:11" ht="31.15" customHeight="1" x14ac:dyDescent="0.2">
      <c r="B89" s="315"/>
      <c r="C89" s="318"/>
      <c r="D89" s="14" t="s">
        <v>52</v>
      </c>
      <c r="E89" s="14">
        <f>SUM(E85:E88)</f>
        <v>0</v>
      </c>
      <c r="F89" s="14">
        <f t="shared" ref="F89:J89" si="21">SUM(F85:F88)</f>
        <v>0</v>
      </c>
      <c r="G89" s="14">
        <f t="shared" si="21"/>
        <v>0</v>
      </c>
      <c r="H89" s="14">
        <f t="shared" si="21"/>
        <v>26945</v>
      </c>
      <c r="I89" s="14">
        <f t="shared" si="21"/>
        <v>8</v>
      </c>
      <c r="J89" s="14">
        <f t="shared" si="21"/>
        <v>460</v>
      </c>
      <c r="K89" s="13"/>
    </row>
    <row r="90" spans="2:11" ht="34.9" customHeight="1" x14ac:dyDescent="0.3">
      <c r="B90" s="306" t="s">
        <v>244</v>
      </c>
      <c r="C90" s="306"/>
      <c r="D90" s="306"/>
      <c r="E90" s="110">
        <f>E72+E78+E84+E89</f>
        <v>147010</v>
      </c>
      <c r="F90" s="110">
        <f t="shared" ref="F90:J90" si="22">F72+F78+F84+F89</f>
        <v>57</v>
      </c>
      <c r="G90" s="110">
        <f t="shared" si="22"/>
        <v>2380</v>
      </c>
      <c r="H90" s="110">
        <f t="shared" si="22"/>
        <v>167624</v>
      </c>
      <c r="I90" s="110">
        <f t="shared" si="22"/>
        <v>65</v>
      </c>
      <c r="J90" s="110">
        <f t="shared" si="22"/>
        <v>2771</v>
      </c>
    </row>
    <row r="91" spans="2:11" ht="33" customHeight="1" x14ac:dyDescent="0.3">
      <c r="B91" s="307" t="s">
        <v>245</v>
      </c>
      <c r="C91" s="307"/>
      <c r="D91" s="307"/>
      <c r="E91" s="116">
        <f t="shared" ref="E91:J91" si="23">SUM(E34,E65,E90)</f>
        <v>583295</v>
      </c>
      <c r="F91" s="116">
        <f t="shared" si="23"/>
        <v>342</v>
      </c>
      <c r="G91" s="116">
        <f t="shared" si="23"/>
        <v>8453</v>
      </c>
      <c r="H91" s="116">
        <f t="shared" si="23"/>
        <v>617707</v>
      </c>
      <c r="I91" s="117">
        <f t="shared" si="23"/>
        <v>355</v>
      </c>
      <c r="J91" s="116">
        <f t="shared" si="23"/>
        <v>9273</v>
      </c>
      <c r="K91" s="118"/>
    </row>
    <row r="92" spans="2:11" ht="33.6" customHeight="1" x14ac:dyDescent="0.2"/>
  </sheetData>
  <mergeCells count="38">
    <mergeCell ref="B90:D90"/>
    <mergeCell ref="C67:C72"/>
    <mergeCell ref="C79:C84"/>
    <mergeCell ref="C85:C89"/>
    <mergeCell ref="C73:C78"/>
    <mergeCell ref="B67:B89"/>
    <mergeCell ref="A1:T1"/>
    <mergeCell ref="A3:A4"/>
    <mergeCell ref="B3:B4"/>
    <mergeCell ref="C3:C4"/>
    <mergeCell ref="B5:B24"/>
    <mergeCell ref="A5:A65"/>
    <mergeCell ref="C16:C24"/>
    <mergeCell ref="D3:D4"/>
    <mergeCell ref="E3:G3"/>
    <mergeCell ref="H3:J3"/>
    <mergeCell ref="C5:C10"/>
    <mergeCell ref="C11:C15"/>
    <mergeCell ref="L3:N3"/>
    <mergeCell ref="O3:Q3"/>
    <mergeCell ref="R3:T3"/>
    <mergeCell ref="A2:T2"/>
    <mergeCell ref="C66:J66"/>
    <mergeCell ref="B91:D91"/>
    <mergeCell ref="B25:B32"/>
    <mergeCell ref="C31:D31"/>
    <mergeCell ref="C32:D32"/>
    <mergeCell ref="C33:D33"/>
    <mergeCell ref="B65:D65"/>
    <mergeCell ref="B34:D34"/>
    <mergeCell ref="C35:C41"/>
    <mergeCell ref="C42:C50"/>
    <mergeCell ref="C51:C58"/>
    <mergeCell ref="C59:C64"/>
    <mergeCell ref="B35:B64"/>
    <mergeCell ref="C25:C28"/>
    <mergeCell ref="C29:D29"/>
    <mergeCell ref="C30:D30"/>
  </mergeCells>
  <pageMargins left="0.7" right="0.18" top="0.75" bottom="0.75" header="0.3" footer="0.3"/>
  <pageSetup paperSize="9" scale="75" orientation="landscape" r:id="rId1"/>
  <headerFooter>
    <oddFooter>Page &amp;P of &amp;N</oddFooter>
  </headerFooter>
  <rowBreaks count="2" manualBreakCount="2">
    <brk id="34" max="19" man="1"/>
    <brk id="58"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2"/>
  <sheetViews>
    <sheetView view="pageBreakPreview" zoomScale="110" zoomScaleSheetLayoutView="110" workbookViewId="0">
      <selection activeCell="D17" sqref="D17"/>
    </sheetView>
  </sheetViews>
  <sheetFormatPr defaultRowHeight="15" x14ac:dyDescent="0.2"/>
  <cols>
    <col min="8" max="8" width="22.59765625" customWidth="1"/>
  </cols>
  <sheetData>
    <row r="1" spans="1:14" x14ac:dyDescent="0.2">
      <c r="A1" s="335" t="s">
        <v>191</v>
      </c>
      <c r="B1" s="336"/>
      <c r="C1" s="336"/>
      <c r="D1" s="336"/>
      <c r="E1" s="336"/>
      <c r="F1" s="336"/>
      <c r="G1" s="336"/>
      <c r="H1" s="337"/>
    </row>
    <row r="2" spans="1:14" x14ac:dyDescent="0.2">
      <c r="A2" s="338"/>
      <c r="B2" s="339"/>
      <c r="C2" s="339"/>
      <c r="D2" s="339"/>
      <c r="E2" s="339"/>
      <c r="F2" s="339"/>
      <c r="G2" s="339"/>
      <c r="H2" s="340"/>
    </row>
    <row r="3" spans="1:14" x14ac:dyDescent="0.2">
      <c r="A3" s="338"/>
      <c r="B3" s="339"/>
      <c r="C3" s="339"/>
      <c r="D3" s="339"/>
      <c r="E3" s="339"/>
      <c r="F3" s="339"/>
      <c r="G3" s="339"/>
      <c r="H3" s="340"/>
    </row>
    <row r="4" spans="1:14" x14ac:dyDescent="0.2">
      <c r="A4" s="338"/>
      <c r="B4" s="339"/>
      <c r="C4" s="339"/>
      <c r="D4" s="339"/>
      <c r="E4" s="339"/>
      <c r="F4" s="339"/>
      <c r="G4" s="339"/>
      <c r="H4" s="340"/>
    </row>
    <row r="5" spans="1:14" x14ac:dyDescent="0.2">
      <c r="A5" s="338"/>
      <c r="B5" s="339"/>
      <c r="C5" s="339"/>
      <c r="D5" s="339"/>
      <c r="E5" s="339"/>
      <c r="F5" s="339"/>
      <c r="G5" s="339"/>
      <c r="H5" s="340"/>
    </row>
    <row r="6" spans="1:14" x14ac:dyDescent="0.2">
      <c r="A6" s="338"/>
      <c r="B6" s="339"/>
      <c r="C6" s="339"/>
      <c r="D6" s="339"/>
      <c r="E6" s="339"/>
      <c r="F6" s="339"/>
      <c r="G6" s="339"/>
      <c r="H6" s="340"/>
    </row>
    <row r="7" spans="1:14" x14ac:dyDescent="0.2">
      <c r="A7" s="338"/>
      <c r="B7" s="339"/>
      <c r="C7" s="339"/>
      <c r="D7" s="339"/>
      <c r="E7" s="339"/>
      <c r="F7" s="339"/>
      <c r="G7" s="339"/>
      <c r="H7" s="340"/>
    </row>
    <row r="8" spans="1:14" x14ac:dyDescent="0.2">
      <c r="A8" s="338"/>
      <c r="B8" s="339"/>
      <c r="C8" s="339"/>
      <c r="D8" s="339"/>
      <c r="E8" s="339"/>
      <c r="F8" s="339"/>
      <c r="G8" s="339"/>
      <c r="H8" s="340"/>
    </row>
    <row r="9" spans="1:14" x14ac:dyDescent="0.2">
      <c r="A9" s="338"/>
      <c r="B9" s="339"/>
      <c r="C9" s="339"/>
      <c r="D9" s="339"/>
      <c r="E9" s="339"/>
      <c r="F9" s="339"/>
      <c r="G9" s="339"/>
      <c r="H9" s="340"/>
    </row>
    <row r="10" spans="1:14" x14ac:dyDescent="0.2">
      <c r="A10" s="338"/>
      <c r="B10" s="339"/>
      <c r="C10" s="339"/>
      <c r="D10" s="339"/>
      <c r="E10" s="339"/>
      <c r="F10" s="339"/>
      <c r="G10" s="339"/>
      <c r="H10" s="340"/>
    </row>
    <row r="11" spans="1:14" x14ac:dyDescent="0.2">
      <c r="A11" s="338"/>
      <c r="B11" s="339"/>
      <c r="C11" s="339"/>
      <c r="D11" s="339"/>
      <c r="E11" s="339"/>
      <c r="F11" s="339"/>
      <c r="G11" s="339"/>
      <c r="H11" s="340"/>
    </row>
    <row r="12" spans="1:14" ht="86.25" customHeight="1" thickBot="1" x14ac:dyDescent="1.35">
      <c r="A12" s="341"/>
      <c r="B12" s="342"/>
      <c r="C12" s="342"/>
      <c r="D12" s="342"/>
      <c r="E12" s="342"/>
      <c r="F12" s="342"/>
      <c r="G12" s="342"/>
      <c r="H12" s="343"/>
      <c r="N12" s="56"/>
    </row>
  </sheetData>
  <mergeCells count="1">
    <mergeCell ref="A1:H12"/>
  </mergeCells>
  <printOptions horizontalCentered="1" verticalCentere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5"/>
  <sheetViews>
    <sheetView view="pageBreakPreview" topLeftCell="A40" zoomScale="78" zoomScaleSheetLayoutView="78" workbookViewId="0">
      <selection activeCell="F52" sqref="F52"/>
    </sheetView>
  </sheetViews>
  <sheetFormatPr defaultRowHeight="15" x14ac:dyDescent="0.2"/>
  <cols>
    <col min="1" max="1" width="5.51171875" customWidth="1"/>
    <col min="2" max="2" width="37.26171875" customWidth="1"/>
    <col min="3" max="3" width="6.58984375" customWidth="1"/>
    <col min="4" max="4" width="6.45703125" customWidth="1"/>
    <col min="5" max="5" width="7.6640625" customWidth="1"/>
    <col min="6" max="6" width="12.10546875" customWidth="1"/>
    <col min="7" max="7" width="9.55078125" customWidth="1"/>
    <col min="8" max="8" width="9.68359375" customWidth="1"/>
    <col min="9" max="16" width="7.6640625" customWidth="1"/>
    <col min="17" max="17" width="4.83984375" bestFit="1" customWidth="1"/>
    <col min="18" max="18" width="7.6640625" customWidth="1"/>
  </cols>
  <sheetData>
    <row r="1" spans="1:18" ht="26.25" customHeight="1" x14ac:dyDescent="0.2">
      <c r="A1" s="205" t="s">
        <v>393</v>
      </c>
      <c r="B1" s="205"/>
      <c r="C1" s="205"/>
      <c r="D1" s="205"/>
      <c r="E1" s="205"/>
      <c r="F1" s="205"/>
      <c r="G1" s="205"/>
      <c r="H1" s="205"/>
      <c r="I1" s="205"/>
      <c r="J1" s="205"/>
      <c r="K1" s="205"/>
      <c r="L1" s="205"/>
      <c r="M1" s="205"/>
      <c r="N1" s="205"/>
      <c r="O1" s="205"/>
      <c r="P1" s="205"/>
      <c r="Q1" s="205"/>
      <c r="R1" s="205"/>
    </row>
    <row r="2" spans="1:18" ht="28.9" customHeight="1" x14ac:dyDescent="0.2">
      <c r="A2" s="203" t="s">
        <v>191</v>
      </c>
      <c r="B2" s="204"/>
      <c r="C2" s="204"/>
      <c r="D2" s="204"/>
      <c r="E2" s="204"/>
      <c r="F2" s="204"/>
      <c r="G2" s="204"/>
      <c r="H2" s="204"/>
      <c r="I2" s="204"/>
      <c r="J2" s="204"/>
      <c r="K2" s="204"/>
      <c r="L2" s="204"/>
      <c r="M2" s="204"/>
      <c r="N2" s="204"/>
      <c r="O2" s="204"/>
      <c r="P2" s="204"/>
      <c r="Q2" s="204"/>
      <c r="R2" s="204"/>
    </row>
    <row r="3" spans="1:18" ht="27" customHeight="1" x14ac:dyDescent="0.2">
      <c r="A3" s="203"/>
      <c r="B3" s="204"/>
      <c r="C3" s="204"/>
      <c r="D3" s="204"/>
      <c r="E3" s="204"/>
      <c r="F3" s="204"/>
      <c r="G3" s="204"/>
      <c r="H3" s="204"/>
      <c r="I3" s="204"/>
      <c r="J3" s="204"/>
      <c r="K3" s="204"/>
      <c r="L3" s="204"/>
      <c r="M3" s="204"/>
      <c r="N3" s="204"/>
      <c r="O3" s="204"/>
      <c r="P3" s="204"/>
      <c r="Q3" s="204"/>
      <c r="R3" s="204"/>
    </row>
    <row r="4" spans="1:18" s="1" customFormat="1" ht="119.25" customHeight="1" x14ac:dyDescent="0.2">
      <c r="A4" s="81" t="s">
        <v>0</v>
      </c>
      <c r="B4" s="81" t="s">
        <v>1</v>
      </c>
      <c r="C4" s="82" t="s">
        <v>2</v>
      </c>
      <c r="D4" s="82" t="s">
        <v>3</v>
      </c>
      <c r="E4" s="82" t="s">
        <v>4</v>
      </c>
      <c r="F4" s="82" t="s">
        <v>5</v>
      </c>
      <c r="G4" s="82" t="s">
        <v>6</v>
      </c>
      <c r="H4" s="82" t="s">
        <v>7</v>
      </c>
      <c r="I4" s="82" t="s">
        <v>8</v>
      </c>
      <c r="J4" s="82" t="s">
        <v>9</v>
      </c>
      <c r="K4" s="82" t="s">
        <v>10</v>
      </c>
      <c r="L4" s="82" t="s">
        <v>43</v>
      </c>
      <c r="M4" s="82" t="s">
        <v>166</v>
      </c>
      <c r="N4" s="82" t="s">
        <v>42</v>
      </c>
      <c r="O4" s="82" t="s">
        <v>12</v>
      </c>
      <c r="P4" s="82" t="s">
        <v>181</v>
      </c>
      <c r="Q4" s="82" t="s">
        <v>182</v>
      </c>
      <c r="R4" s="82" t="s">
        <v>11</v>
      </c>
    </row>
    <row r="5" spans="1:18" s="72" customFormat="1" ht="37.5" customHeight="1" x14ac:dyDescent="0.2">
      <c r="A5" s="66"/>
      <c r="B5" s="42" t="s">
        <v>357</v>
      </c>
      <c r="C5" s="45">
        <v>2</v>
      </c>
      <c r="D5" s="71">
        <v>9</v>
      </c>
      <c r="E5" s="45">
        <v>56</v>
      </c>
      <c r="F5" s="45">
        <v>583295</v>
      </c>
      <c r="G5" s="45">
        <v>342</v>
      </c>
      <c r="H5" s="45">
        <v>8453</v>
      </c>
      <c r="I5" s="45">
        <v>3</v>
      </c>
      <c r="J5" s="45">
        <v>2</v>
      </c>
      <c r="K5" s="45">
        <v>1</v>
      </c>
      <c r="L5" s="45">
        <v>1</v>
      </c>
      <c r="M5" s="45">
        <v>6</v>
      </c>
      <c r="N5" s="45">
        <v>10</v>
      </c>
      <c r="O5" s="45">
        <v>9</v>
      </c>
      <c r="P5" s="45">
        <v>0</v>
      </c>
      <c r="Q5" s="45">
        <v>0</v>
      </c>
      <c r="R5" s="45">
        <v>2</v>
      </c>
    </row>
    <row r="6" spans="1:18" s="1" customFormat="1" ht="37.5" hidden="1" customHeight="1" x14ac:dyDescent="0.2">
      <c r="A6" s="20"/>
      <c r="B6" s="73" t="s">
        <v>15</v>
      </c>
      <c r="C6" s="40">
        <f>C5</f>
        <v>2</v>
      </c>
      <c r="D6" s="40">
        <f t="shared" ref="D6:R6" si="0">D5</f>
        <v>9</v>
      </c>
      <c r="E6" s="40">
        <f t="shared" si="0"/>
        <v>56</v>
      </c>
      <c r="F6" s="40">
        <f t="shared" si="0"/>
        <v>583295</v>
      </c>
      <c r="G6" s="40">
        <f t="shared" si="0"/>
        <v>342</v>
      </c>
      <c r="H6" s="40">
        <f t="shared" si="0"/>
        <v>8453</v>
      </c>
      <c r="I6" s="40">
        <f t="shared" si="0"/>
        <v>3</v>
      </c>
      <c r="J6" s="40">
        <f t="shared" si="0"/>
        <v>2</v>
      </c>
      <c r="K6" s="40">
        <f t="shared" si="0"/>
        <v>1</v>
      </c>
      <c r="L6" s="40">
        <f t="shared" si="0"/>
        <v>1</v>
      </c>
      <c r="M6" s="40">
        <f t="shared" si="0"/>
        <v>6</v>
      </c>
      <c r="N6" s="40">
        <f t="shared" si="0"/>
        <v>10</v>
      </c>
      <c r="O6" s="40">
        <f t="shared" si="0"/>
        <v>9</v>
      </c>
      <c r="P6" s="40">
        <f t="shared" si="0"/>
        <v>0</v>
      </c>
      <c r="Q6" s="40">
        <f t="shared" si="0"/>
        <v>0</v>
      </c>
      <c r="R6" s="40">
        <f t="shared" si="0"/>
        <v>2</v>
      </c>
    </row>
    <row r="7" spans="1:18" s="1" customFormat="1" ht="16.5" x14ac:dyDescent="0.2">
      <c r="A7" s="20"/>
      <c r="B7" s="42" t="s">
        <v>13</v>
      </c>
      <c r="C7" s="40"/>
      <c r="D7" s="40"/>
      <c r="E7" s="40"/>
      <c r="F7" s="40"/>
      <c r="G7" s="40"/>
      <c r="H7" s="40"/>
      <c r="I7" s="40"/>
      <c r="J7" s="40"/>
      <c r="K7" s="40"/>
      <c r="L7" s="40"/>
      <c r="M7" s="40"/>
      <c r="N7" s="40"/>
      <c r="O7" s="40"/>
      <c r="P7" s="40"/>
      <c r="Q7" s="40"/>
      <c r="R7" s="40"/>
    </row>
    <row r="8" spans="1:18" s="1" customFormat="1" ht="37.5" customHeight="1" x14ac:dyDescent="0.2">
      <c r="A8" s="20">
        <v>1</v>
      </c>
      <c r="B8" s="39" t="s">
        <v>180</v>
      </c>
      <c r="C8" s="40">
        <v>0</v>
      </c>
      <c r="D8" s="40">
        <v>0</v>
      </c>
      <c r="E8" s="40">
        <v>3</v>
      </c>
      <c r="F8" s="40">
        <v>24033</v>
      </c>
      <c r="G8" s="40">
        <f>'Tirupur Annexure-III'!G7</f>
        <v>34</v>
      </c>
      <c r="H8" s="40">
        <f>'Tirupur Annexure-III'!H7</f>
        <v>443</v>
      </c>
      <c r="I8" s="40">
        <v>0</v>
      </c>
      <c r="J8" s="40">
        <v>0</v>
      </c>
      <c r="K8" s="40">
        <v>0</v>
      </c>
      <c r="L8" s="40">
        <v>1</v>
      </c>
      <c r="M8" s="40">
        <v>0</v>
      </c>
      <c r="N8" s="40">
        <v>0</v>
      </c>
      <c r="O8" s="40">
        <v>0</v>
      </c>
      <c r="P8" s="40">
        <v>0</v>
      </c>
      <c r="Q8" s="40">
        <v>0</v>
      </c>
      <c r="R8" s="40">
        <v>0</v>
      </c>
    </row>
    <row r="9" spans="1:18" s="1" customFormat="1" ht="37.5" customHeight="1" x14ac:dyDescent="0.2">
      <c r="A9" s="20">
        <v>2</v>
      </c>
      <c r="B9" s="39" t="s">
        <v>178</v>
      </c>
      <c r="C9" s="40">
        <v>0</v>
      </c>
      <c r="D9" s="40">
        <v>0</v>
      </c>
      <c r="E9" s="40">
        <v>0</v>
      </c>
      <c r="F9" s="40">
        <v>1166</v>
      </c>
      <c r="G9" s="40">
        <f>'Tirupur Annexure-III'!G8</f>
        <v>0</v>
      </c>
      <c r="H9" s="43">
        <f>'Tirupur Annexure-III'!H8</f>
        <v>13</v>
      </c>
      <c r="I9" s="40">
        <v>0</v>
      </c>
      <c r="J9" s="40">
        <v>0</v>
      </c>
      <c r="K9" s="40">
        <v>0</v>
      </c>
      <c r="L9" s="40">
        <v>0</v>
      </c>
      <c r="M9" s="40">
        <v>0</v>
      </c>
      <c r="N9" s="40">
        <v>0</v>
      </c>
      <c r="O9" s="40">
        <v>0</v>
      </c>
      <c r="P9" s="40">
        <v>0</v>
      </c>
      <c r="Q9" s="40">
        <v>0</v>
      </c>
      <c r="R9" s="40">
        <v>0</v>
      </c>
    </row>
    <row r="10" spans="1:18" s="1" customFormat="1" ht="37.5" customHeight="1" x14ac:dyDescent="0.2">
      <c r="A10" s="20">
        <v>3</v>
      </c>
      <c r="B10" s="39" t="s">
        <v>179</v>
      </c>
      <c r="C10" s="40">
        <v>0</v>
      </c>
      <c r="D10" s="40">
        <v>0</v>
      </c>
      <c r="E10" s="40">
        <v>0</v>
      </c>
      <c r="F10" s="40">
        <v>2431</v>
      </c>
      <c r="G10" s="40">
        <f>'Tirupur Annexure-III'!G9</f>
        <v>1</v>
      </c>
      <c r="H10" s="43">
        <f>'Tirupur Annexure-III'!H9</f>
        <v>54</v>
      </c>
      <c r="I10" s="40">
        <v>0</v>
      </c>
      <c r="J10" s="40">
        <v>0</v>
      </c>
      <c r="K10" s="40">
        <v>0</v>
      </c>
      <c r="L10" s="40">
        <v>0</v>
      </c>
      <c r="M10" s="40">
        <v>0</v>
      </c>
      <c r="N10" s="40">
        <v>0</v>
      </c>
      <c r="O10" s="40">
        <v>0</v>
      </c>
      <c r="P10" s="40">
        <v>0</v>
      </c>
      <c r="Q10" s="40">
        <v>0</v>
      </c>
      <c r="R10" s="40">
        <v>0</v>
      </c>
    </row>
    <row r="11" spans="1:18" s="1" customFormat="1" ht="37.5" customHeight="1" x14ac:dyDescent="0.2">
      <c r="A11" s="83"/>
      <c r="B11" s="84" t="s">
        <v>358</v>
      </c>
      <c r="C11" s="85">
        <f>SUM(C8:C10)</f>
        <v>0</v>
      </c>
      <c r="D11" s="85">
        <f t="shared" ref="D11:R11" si="1">SUM(D8:D10)</f>
        <v>0</v>
      </c>
      <c r="E11" s="85">
        <f t="shared" si="1"/>
        <v>3</v>
      </c>
      <c r="F11" s="85">
        <f>SUM(F8:F10)</f>
        <v>27630</v>
      </c>
      <c r="G11" s="85">
        <f t="shared" si="1"/>
        <v>35</v>
      </c>
      <c r="H11" s="85">
        <f t="shared" si="1"/>
        <v>510</v>
      </c>
      <c r="I11" s="85">
        <f t="shared" si="1"/>
        <v>0</v>
      </c>
      <c r="J11" s="85">
        <f t="shared" si="1"/>
        <v>0</v>
      </c>
      <c r="K11" s="85">
        <f t="shared" si="1"/>
        <v>0</v>
      </c>
      <c r="L11" s="85">
        <f t="shared" si="1"/>
        <v>1</v>
      </c>
      <c r="M11" s="85">
        <f t="shared" si="1"/>
        <v>0</v>
      </c>
      <c r="N11" s="85">
        <f t="shared" si="1"/>
        <v>0</v>
      </c>
      <c r="O11" s="85">
        <f t="shared" si="1"/>
        <v>0</v>
      </c>
      <c r="P11" s="85">
        <f t="shared" si="1"/>
        <v>0</v>
      </c>
      <c r="Q11" s="85">
        <f t="shared" si="1"/>
        <v>0</v>
      </c>
      <c r="R11" s="85">
        <f t="shared" si="1"/>
        <v>0</v>
      </c>
    </row>
    <row r="12" spans="1:18" s="6" customFormat="1" ht="27.75" customHeight="1" x14ac:dyDescent="0.2">
      <c r="A12" s="20"/>
      <c r="B12" s="85" t="s">
        <v>359</v>
      </c>
      <c r="C12" s="85">
        <f>C5-C11</f>
        <v>2</v>
      </c>
      <c r="D12" s="85">
        <f t="shared" ref="D12:R12" si="2">D5-D11</f>
        <v>9</v>
      </c>
      <c r="E12" s="85">
        <f t="shared" si="2"/>
        <v>53</v>
      </c>
      <c r="F12" s="85">
        <f t="shared" si="2"/>
        <v>555665</v>
      </c>
      <c r="G12" s="85">
        <f t="shared" si="2"/>
        <v>307</v>
      </c>
      <c r="H12" s="85">
        <f t="shared" si="2"/>
        <v>7943</v>
      </c>
      <c r="I12" s="85">
        <f t="shared" si="2"/>
        <v>3</v>
      </c>
      <c r="J12" s="85">
        <f t="shared" si="2"/>
        <v>2</v>
      </c>
      <c r="K12" s="85">
        <f t="shared" si="2"/>
        <v>1</v>
      </c>
      <c r="L12" s="85">
        <f t="shared" si="2"/>
        <v>0</v>
      </c>
      <c r="M12" s="85">
        <f t="shared" si="2"/>
        <v>6</v>
      </c>
      <c r="N12" s="85">
        <f t="shared" si="2"/>
        <v>10</v>
      </c>
      <c r="O12" s="85">
        <f t="shared" si="2"/>
        <v>9</v>
      </c>
      <c r="P12" s="85">
        <f t="shared" si="2"/>
        <v>0</v>
      </c>
      <c r="Q12" s="85">
        <f t="shared" si="2"/>
        <v>0</v>
      </c>
      <c r="R12" s="85">
        <f t="shared" si="2"/>
        <v>2</v>
      </c>
    </row>
    <row r="13" spans="1:18" s="6" customFormat="1" ht="37.5" customHeight="1" x14ac:dyDescent="0.2">
      <c r="A13" s="20"/>
      <c r="B13" s="46" t="s">
        <v>192</v>
      </c>
      <c r="C13" s="45"/>
      <c r="D13" s="45"/>
      <c r="E13" s="45"/>
      <c r="F13" s="45"/>
      <c r="G13" s="45"/>
      <c r="H13" s="45"/>
      <c r="I13" s="45"/>
      <c r="J13" s="45"/>
      <c r="K13" s="45"/>
      <c r="L13" s="45"/>
      <c r="M13" s="45"/>
      <c r="N13" s="45"/>
      <c r="O13" s="45"/>
      <c r="P13" s="45"/>
      <c r="Q13" s="45"/>
      <c r="R13" s="45"/>
    </row>
    <row r="14" spans="1:18" s="6" customFormat="1" ht="37.5" customHeight="1" x14ac:dyDescent="0.2">
      <c r="A14" s="20">
        <v>1</v>
      </c>
      <c r="B14" s="47" t="s">
        <v>360</v>
      </c>
      <c r="C14" s="40">
        <v>0</v>
      </c>
      <c r="D14" s="40">
        <v>0</v>
      </c>
      <c r="E14" s="40">
        <v>5</v>
      </c>
      <c r="F14" s="48">
        <f>'Annexure-IV TR FROM OTHER EDC '!F11</f>
        <v>34927</v>
      </c>
      <c r="G14" s="48" t="str">
        <f>'Annexure-IV TR FROM OTHER EDC '!G11</f>
        <v>41 + (1EHT)</v>
      </c>
      <c r="H14" s="48">
        <f>'Annexure-IV TR FROM OTHER EDC '!H11</f>
        <v>865</v>
      </c>
      <c r="I14" s="40">
        <v>0</v>
      </c>
      <c r="J14" s="40">
        <v>0</v>
      </c>
      <c r="K14" s="40">
        <v>0</v>
      </c>
      <c r="L14" s="40">
        <v>0</v>
      </c>
      <c r="M14" s="40">
        <v>1</v>
      </c>
      <c r="N14" s="40">
        <v>3</v>
      </c>
      <c r="O14" s="40">
        <v>2</v>
      </c>
      <c r="P14" s="40">
        <v>0</v>
      </c>
      <c r="Q14" s="40">
        <v>1</v>
      </c>
      <c r="R14" s="40">
        <v>0</v>
      </c>
    </row>
    <row r="15" spans="1:18" s="6" customFormat="1" ht="37.5" customHeight="1" x14ac:dyDescent="0.2">
      <c r="A15" s="20">
        <v>2</v>
      </c>
      <c r="B15" s="47" t="s">
        <v>361</v>
      </c>
      <c r="C15" s="40">
        <v>0</v>
      </c>
      <c r="D15" s="40">
        <v>0</v>
      </c>
      <c r="E15" s="40">
        <v>0</v>
      </c>
      <c r="F15" s="48">
        <f>'Annexure-IV TR FROM OTHER EDC '!F18</f>
        <v>1660</v>
      </c>
      <c r="G15" s="48">
        <f>'Annexure-IV TR FROM OTHER EDC '!G18</f>
        <v>1</v>
      </c>
      <c r="H15" s="48">
        <f>'Annexure-IV TR FROM OTHER EDC '!H18</f>
        <v>33</v>
      </c>
      <c r="I15" s="40">
        <v>0</v>
      </c>
      <c r="J15" s="40">
        <v>0</v>
      </c>
      <c r="K15" s="40">
        <v>0</v>
      </c>
      <c r="L15" s="40">
        <v>0</v>
      </c>
      <c r="M15" s="40">
        <v>0</v>
      </c>
      <c r="N15" s="40">
        <v>0</v>
      </c>
      <c r="O15" s="40">
        <v>0</v>
      </c>
      <c r="P15" s="40">
        <v>0</v>
      </c>
      <c r="Q15" s="40">
        <v>0</v>
      </c>
      <c r="R15" s="40">
        <v>0</v>
      </c>
    </row>
    <row r="16" spans="1:18" s="6" customFormat="1" ht="63.75" x14ac:dyDescent="0.2">
      <c r="A16" s="20">
        <v>3</v>
      </c>
      <c r="B16" s="47" t="s">
        <v>362</v>
      </c>
      <c r="C16" s="40">
        <v>0</v>
      </c>
      <c r="D16" s="40">
        <v>1</v>
      </c>
      <c r="E16" s="40">
        <v>4</v>
      </c>
      <c r="F16" s="48">
        <v>25455</v>
      </c>
      <c r="G16" s="40">
        <f>'Annexure-IV TR FROM OTHER EDC '!G25</f>
        <v>8</v>
      </c>
      <c r="H16" s="40">
        <f>'Annexure-IV TR FROM OTHER EDC '!H25</f>
        <v>432</v>
      </c>
      <c r="I16" s="40">
        <v>0</v>
      </c>
      <c r="J16" s="40">
        <v>0</v>
      </c>
      <c r="K16" s="40">
        <v>0</v>
      </c>
      <c r="L16" s="40">
        <v>0</v>
      </c>
      <c r="M16" s="40">
        <v>1</v>
      </c>
      <c r="N16" s="40">
        <v>1</v>
      </c>
      <c r="O16" s="40">
        <v>2</v>
      </c>
      <c r="P16" s="40">
        <v>0</v>
      </c>
      <c r="Q16" s="40">
        <v>0</v>
      </c>
      <c r="R16" s="40">
        <v>0</v>
      </c>
    </row>
    <row r="17" spans="1:18" s="6" customFormat="1" ht="48" x14ac:dyDescent="0.2">
      <c r="A17" s="20"/>
      <c r="B17" s="85" t="s">
        <v>363</v>
      </c>
      <c r="C17" s="85">
        <f>SUM(C14:C16)</f>
        <v>0</v>
      </c>
      <c r="D17" s="85">
        <f t="shared" ref="D17:F17" si="3">SUM(D14:D16)</f>
        <v>1</v>
      </c>
      <c r="E17" s="85">
        <f t="shared" si="3"/>
        <v>9</v>
      </c>
      <c r="F17" s="85">
        <f t="shared" si="3"/>
        <v>62042</v>
      </c>
      <c r="G17" s="85" t="s">
        <v>167</v>
      </c>
      <c r="H17" s="85">
        <f>SUM(H14:H16)</f>
        <v>1330</v>
      </c>
      <c r="I17" s="85">
        <f t="shared" ref="I17:R17" si="4">SUM(I14:I16)</f>
        <v>0</v>
      </c>
      <c r="J17" s="85">
        <f t="shared" si="4"/>
        <v>0</v>
      </c>
      <c r="K17" s="85">
        <f t="shared" si="4"/>
        <v>0</v>
      </c>
      <c r="L17" s="85">
        <f t="shared" si="4"/>
        <v>0</v>
      </c>
      <c r="M17" s="85">
        <f t="shared" si="4"/>
        <v>2</v>
      </c>
      <c r="N17" s="85">
        <f t="shared" si="4"/>
        <v>4</v>
      </c>
      <c r="O17" s="85">
        <f t="shared" si="4"/>
        <v>4</v>
      </c>
      <c r="P17" s="85">
        <f t="shared" si="4"/>
        <v>0</v>
      </c>
      <c r="Q17" s="85">
        <f t="shared" si="4"/>
        <v>1</v>
      </c>
      <c r="R17" s="85">
        <f t="shared" si="4"/>
        <v>0</v>
      </c>
    </row>
    <row r="18" spans="1:18" s="6" customFormat="1" ht="32.25" x14ac:dyDescent="0.2">
      <c r="A18" s="20"/>
      <c r="B18" s="86" t="s">
        <v>342</v>
      </c>
      <c r="C18" s="85">
        <v>1</v>
      </c>
      <c r="D18" s="85">
        <v>2</v>
      </c>
      <c r="E18" s="85">
        <f>5-3</f>
        <v>2</v>
      </c>
      <c r="F18" s="85">
        <v>0</v>
      </c>
      <c r="G18" s="85">
        <v>0</v>
      </c>
      <c r="H18" s="85">
        <v>0</v>
      </c>
      <c r="I18" s="85">
        <v>1</v>
      </c>
      <c r="J18" s="85">
        <v>1</v>
      </c>
      <c r="K18" s="85">
        <v>0</v>
      </c>
      <c r="L18" s="85">
        <v>0</v>
      </c>
      <c r="M18" s="85">
        <v>0</v>
      </c>
      <c r="N18" s="85">
        <v>0</v>
      </c>
      <c r="O18" s="85">
        <v>0</v>
      </c>
      <c r="P18" s="85">
        <v>0</v>
      </c>
      <c r="Q18" s="85">
        <v>0</v>
      </c>
      <c r="R18" s="85">
        <v>0</v>
      </c>
    </row>
    <row r="19" spans="1:18" s="6" customFormat="1" ht="32.25" x14ac:dyDescent="0.2">
      <c r="A19" s="20"/>
      <c r="B19" s="86" t="s">
        <v>364</v>
      </c>
      <c r="C19" s="85">
        <f>C12+C17+C18</f>
        <v>3</v>
      </c>
      <c r="D19" s="85">
        <f>D12+D17+D18</f>
        <v>12</v>
      </c>
      <c r="E19" s="85">
        <f>E12+E17+E18</f>
        <v>64</v>
      </c>
      <c r="F19" s="85">
        <f>F12+F17+F18</f>
        <v>617707</v>
      </c>
      <c r="G19" s="85" t="s">
        <v>168</v>
      </c>
      <c r="H19" s="85">
        <f>H12+H17+H18</f>
        <v>9273</v>
      </c>
      <c r="I19" s="85">
        <f t="shared" ref="I19:R19" si="5">I12+I17+I18</f>
        <v>4</v>
      </c>
      <c r="J19" s="85">
        <f t="shared" si="5"/>
        <v>3</v>
      </c>
      <c r="K19" s="85">
        <f t="shared" si="5"/>
        <v>1</v>
      </c>
      <c r="L19" s="85">
        <f t="shared" si="5"/>
        <v>0</v>
      </c>
      <c r="M19" s="85">
        <f t="shared" si="5"/>
        <v>8</v>
      </c>
      <c r="N19" s="85">
        <f t="shared" si="5"/>
        <v>14</v>
      </c>
      <c r="O19" s="85">
        <f t="shared" si="5"/>
        <v>13</v>
      </c>
      <c r="P19" s="85">
        <f t="shared" si="5"/>
        <v>0</v>
      </c>
      <c r="Q19" s="85">
        <f t="shared" si="5"/>
        <v>1</v>
      </c>
      <c r="R19" s="85">
        <f t="shared" si="5"/>
        <v>2</v>
      </c>
    </row>
    <row r="20" spans="1:18" s="6" customFormat="1" ht="51" x14ac:dyDescent="0.2">
      <c r="A20" s="20">
        <v>1</v>
      </c>
      <c r="B20" s="47" t="s">
        <v>337</v>
      </c>
      <c r="C20" s="128">
        <v>0</v>
      </c>
      <c r="D20" s="128">
        <v>0</v>
      </c>
      <c r="E20" s="128">
        <v>4</v>
      </c>
      <c r="F20" s="48">
        <v>58367</v>
      </c>
      <c r="G20" s="128">
        <v>15</v>
      </c>
      <c r="H20" s="128">
        <v>693</v>
      </c>
      <c r="I20" s="128">
        <v>0</v>
      </c>
      <c r="J20" s="128">
        <v>0</v>
      </c>
      <c r="K20" s="128">
        <v>0</v>
      </c>
      <c r="L20" s="128">
        <v>0</v>
      </c>
      <c r="M20" s="128">
        <v>1</v>
      </c>
      <c r="N20" s="128">
        <v>0</v>
      </c>
      <c r="O20" s="128">
        <v>0</v>
      </c>
      <c r="P20" s="128">
        <v>0</v>
      </c>
      <c r="Q20" s="128">
        <v>0</v>
      </c>
      <c r="R20" s="128">
        <v>0</v>
      </c>
    </row>
    <row r="21" spans="1:18" s="6" customFormat="1" ht="38.25" customHeight="1" x14ac:dyDescent="0.2">
      <c r="A21" s="20"/>
      <c r="B21" s="47" t="s">
        <v>97</v>
      </c>
      <c r="C21" s="131">
        <v>0</v>
      </c>
      <c r="D21" s="131">
        <v>0</v>
      </c>
      <c r="E21" s="131">
        <v>0</v>
      </c>
      <c r="F21" s="48">
        <v>11517</v>
      </c>
      <c r="G21" s="131">
        <v>2</v>
      </c>
      <c r="H21" s="131">
        <v>160</v>
      </c>
      <c r="I21" s="131">
        <v>0</v>
      </c>
      <c r="J21" s="131">
        <v>0</v>
      </c>
      <c r="K21" s="131">
        <v>0</v>
      </c>
      <c r="L21" s="131">
        <v>0</v>
      </c>
      <c r="M21" s="131">
        <v>0</v>
      </c>
      <c r="N21" s="131">
        <v>0</v>
      </c>
      <c r="O21" s="131">
        <v>0</v>
      </c>
      <c r="P21" s="131">
        <v>0</v>
      </c>
      <c r="Q21" s="131">
        <v>0</v>
      </c>
      <c r="R21" s="131">
        <v>0</v>
      </c>
    </row>
    <row r="22" spans="1:18" s="6" customFormat="1" ht="38.25" customHeight="1" x14ac:dyDescent="0.2">
      <c r="A22" s="20"/>
      <c r="B22" s="47" t="s">
        <v>98</v>
      </c>
      <c r="C22" s="131">
        <v>0</v>
      </c>
      <c r="D22" s="131">
        <v>0</v>
      </c>
      <c r="E22" s="131">
        <v>0</v>
      </c>
      <c r="F22" s="48">
        <v>11975</v>
      </c>
      <c r="G22" s="131">
        <v>7</v>
      </c>
      <c r="H22" s="131">
        <v>138</v>
      </c>
      <c r="I22" s="131">
        <v>0</v>
      </c>
      <c r="J22" s="131">
        <v>0</v>
      </c>
      <c r="K22" s="131">
        <v>0</v>
      </c>
      <c r="L22" s="131">
        <v>0</v>
      </c>
      <c r="M22" s="131">
        <v>0</v>
      </c>
      <c r="N22" s="131">
        <v>0</v>
      </c>
      <c r="O22" s="131">
        <v>0</v>
      </c>
      <c r="P22" s="131">
        <v>0</v>
      </c>
      <c r="Q22" s="131">
        <v>0</v>
      </c>
      <c r="R22" s="131">
        <v>0</v>
      </c>
    </row>
    <row r="23" spans="1:18" s="6" customFormat="1" ht="38.25" customHeight="1" x14ac:dyDescent="0.2">
      <c r="A23" s="20"/>
      <c r="B23" s="47" t="s">
        <v>374</v>
      </c>
      <c r="C23" s="131">
        <v>0</v>
      </c>
      <c r="D23" s="131">
        <v>0</v>
      </c>
      <c r="E23" s="131">
        <v>0</v>
      </c>
      <c r="F23" s="48">
        <v>17652</v>
      </c>
      <c r="G23" s="131">
        <v>5</v>
      </c>
      <c r="H23" s="131">
        <v>220</v>
      </c>
      <c r="I23" s="131">
        <v>0</v>
      </c>
      <c r="J23" s="131">
        <v>0</v>
      </c>
      <c r="K23" s="131">
        <v>0</v>
      </c>
      <c r="L23" s="131">
        <v>0</v>
      </c>
      <c r="M23" s="131">
        <v>0</v>
      </c>
      <c r="N23" s="131">
        <v>0</v>
      </c>
      <c r="O23" s="131">
        <v>0</v>
      </c>
      <c r="P23" s="131">
        <v>0</v>
      </c>
      <c r="Q23" s="131">
        <v>0</v>
      </c>
      <c r="R23" s="131">
        <v>0</v>
      </c>
    </row>
    <row r="24" spans="1:18" s="6" customFormat="1" ht="38.25" customHeight="1" x14ac:dyDescent="0.2">
      <c r="A24" s="20"/>
      <c r="B24" s="47" t="s">
        <v>375</v>
      </c>
      <c r="C24" s="131">
        <v>0</v>
      </c>
      <c r="D24" s="131">
        <v>0</v>
      </c>
      <c r="E24" s="131">
        <v>0</v>
      </c>
      <c r="F24" s="48">
        <v>17223</v>
      </c>
      <c r="G24" s="131">
        <v>1</v>
      </c>
      <c r="H24" s="131">
        <v>175</v>
      </c>
      <c r="I24" s="131">
        <v>0</v>
      </c>
      <c r="J24" s="131">
        <v>0</v>
      </c>
      <c r="K24" s="131">
        <v>0</v>
      </c>
      <c r="L24" s="131">
        <v>0</v>
      </c>
      <c r="M24" s="131">
        <v>0</v>
      </c>
      <c r="N24" s="131">
        <v>0</v>
      </c>
      <c r="O24" s="131">
        <v>0</v>
      </c>
      <c r="P24" s="131">
        <v>0</v>
      </c>
      <c r="Q24" s="131">
        <v>0</v>
      </c>
      <c r="R24" s="131">
        <v>0</v>
      </c>
    </row>
    <row r="25" spans="1:18" s="6" customFormat="1" ht="38.25" customHeight="1" x14ac:dyDescent="0.2">
      <c r="A25" s="20"/>
      <c r="B25" s="45" t="s">
        <v>376</v>
      </c>
      <c r="C25" s="45"/>
      <c r="D25" s="45"/>
      <c r="E25" s="45"/>
      <c r="F25" s="195">
        <f>SUM(F21:F24)</f>
        <v>58367</v>
      </c>
      <c r="G25" s="195">
        <f t="shared" ref="G25:H25" si="6">SUM(G21:G24)</f>
        <v>15</v>
      </c>
      <c r="H25" s="195">
        <f t="shared" si="6"/>
        <v>693</v>
      </c>
      <c r="I25" s="45"/>
      <c r="J25" s="45"/>
      <c r="K25" s="45"/>
      <c r="L25" s="45"/>
      <c r="M25" s="45"/>
      <c r="N25" s="45"/>
      <c r="O25" s="45"/>
      <c r="P25" s="45"/>
      <c r="Q25" s="45"/>
      <c r="R25" s="45"/>
    </row>
    <row r="26" spans="1:18" s="6" customFormat="1" ht="51" x14ac:dyDescent="0.2">
      <c r="A26" s="20">
        <v>2</v>
      </c>
      <c r="B26" s="47" t="s">
        <v>338</v>
      </c>
      <c r="C26" s="128">
        <v>0</v>
      </c>
      <c r="D26" s="128">
        <v>1</v>
      </c>
      <c r="E26" s="128">
        <v>9</v>
      </c>
      <c r="F26" s="48">
        <v>67048</v>
      </c>
      <c r="G26" s="128">
        <f>'ANNEXURE V FINAL-EDIT'!I96+'ANNEXURE V FINAL-EDIT'!I91</f>
        <v>32</v>
      </c>
      <c r="H26" s="128">
        <v>1125</v>
      </c>
      <c r="I26" s="128">
        <v>0</v>
      </c>
      <c r="J26" s="128">
        <v>0</v>
      </c>
      <c r="K26" s="128">
        <v>0</v>
      </c>
      <c r="L26" s="130">
        <v>0</v>
      </c>
      <c r="M26" s="130">
        <v>2</v>
      </c>
      <c r="N26" s="130">
        <v>0</v>
      </c>
      <c r="O26" s="130">
        <v>2</v>
      </c>
      <c r="P26" s="130">
        <v>0</v>
      </c>
      <c r="Q26" s="130">
        <v>0</v>
      </c>
      <c r="R26" s="130">
        <v>0</v>
      </c>
    </row>
    <row r="27" spans="1:18" s="6" customFormat="1" ht="29.25" customHeight="1" x14ac:dyDescent="0.2">
      <c r="A27" s="20"/>
      <c r="B27" s="47" t="s">
        <v>377</v>
      </c>
      <c r="C27" s="131">
        <v>0</v>
      </c>
      <c r="D27" s="131">
        <v>0</v>
      </c>
      <c r="E27" s="131">
        <v>0</v>
      </c>
      <c r="F27" s="48">
        <v>8046</v>
      </c>
      <c r="G27" s="131">
        <v>7</v>
      </c>
      <c r="H27" s="131">
        <v>117</v>
      </c>
      <c r="I27" s="131">
        <v>0</v>
      </c>
      <c r="J27" s="131">
        <v>0</v>
      </c>
      <c r="K27" s="131">
        <v>0</v>
      </c>
      <c r="L27" s="130">
        <v>0</v>
      </c>
      <c r="M27" s="130">
        <v>0</v>
      </c>
      <c r="N27" s="130">
        <v>0</v>
      </c>
      <c r="O27" s="130">
        <v>0</v>
      </c>
      <c r="P27" s="130">
        <v>0</v>
      </c>
      <c r="Q27" s="130">
        <v>0</v>
      </c>
      <c r="R27" s="130">
        <v>0</v>
      </c>
    </row>
    <row r="28" spans="1:18" s="6" customFormat="1" ht="29.25" customHeight="1" x14ac:dyDescent="0.2">
      <c r="A28" s="20"/>
      <c r="B28" s="47" t="s">
        <v>378</v>
      </c>
      <c r="C28" s="131">
        <v>0</v>
      </c>
      <c r="D28" s="131">
        <v>0</v>
      </c>
      <c r="E28" s="131">
        <v>0</v>
      </c>
      <c r="F28" s="48">
        <v>10543</v>
      </c>
      <c r="G28" s="131">
        <v>2</v>
      </c>
      <c r="H28" s="131">
        <v>81</v>
      </c>
      <c r="I28" s="131">
        <v>0</v>
      </c>
      <c r="J28" s="131">
        <v>0</v>
      </c>
      <c r="K28" s="131">
        <v>0</v>
      </c>
      <c r="L28" s="130">
        <v>0</v>
      </c>
      <c r="M28" s="130">
        <v>0</v>
      </c>
      <c r="N28" s="130">
        <v>0</v>
      </c>
      <c r="O28" s="130">
        <v>0</v>
      </c>
      <c r="P28" s="130">
        <v>0</v>
      </c>
      <c r="Q28" s="130">
        <v>0</v>
      </c>
      <c r="R28" s="130">
        <v>0</v>
      </c>
    </row>
    <row r="29" spans="1:18" s="6" customFormat="1" ht="29.25" customHeight="1" x14ac:dyDescent="0.2">
      <c r="A29" s="20"/>
      <c r="B29" s="47" t="s">
        <v>71</v>
      </c>
      <c r="C29" s="131">
        <v>0</v>
      </c>
      <c r="D29" s="131">
        <v>0</v>
      </c>
      <c r="E29" s="131">
        <v>0</v>
      </c>
      <c r="F29" s="48">
        <v>13435</v>
      </c>
      <c r="G29" s="131">
        <v>4</v>
      </c>
      <c r="H29" s="131">
        <v>208</v>
      </c>
      <c r="I29" s="131">
        <v>0</v>
      </c>
      <c r="J29" s="131">
        <v>0</v>
      </c>
      <c r="K29" s="131">
        <v>0</v>
      </c>
      <c r="L29" s="130">
        <v>0</v>
      </c>
      <c r="M29" s="130">
        <v>0</v>
      </c>
      <c r="N29" s="130">
        <v>0</v>
      </c>
      <c r="O29" s="130">
        <v>0</v>
      </c>
      <c r="P29" s="130">
        <v>0</v>
      </c>
      <c r="Q29" s="130">
        <v>0</v>
      </c>
      <c r="R29" s="130">
        <v>0</v>
      </c>
    </row>
    <row r="30" spans="1:18" s="6" customFormat="1" ht="29.25" customHeight="1" x14ac:dyDescent="0.2">
      <c r="A30" s="20"/>
      <c r="B30" s="47" t="s">
        <v>73</v>
      </c>
      <c r="C30" s="131">
        <v>0</v>
      </c>
      <c r="D30" s="131">
        <v>0</v>
      </c>
      <c r="E30" s="131">
        <v>0</v>
      </c>
      <c r="F30" s="48">
        <v>7237</v>
      </c>
      <c r="G30" s="131">
        <v>0</v>
      </c>
      <c r="H30" s="131">
        <v>70</v>
      </c>
      <c r="I30" s="131">
        <v>0</v>
      </c>
      <c r="J30" s="131">
        <v>0</v>
      </c>
      <c r="K30" s="131">
        <v>0</v>
      </c>
      <c r="L30" s="130">
        <v>0</v>
      </c>
      <c r="M30" s="130">
        <v>0</v>
      </c>
      <c r="N30" s="130">
        <v>0</v>
      </c>
      <c r="O30" s="130">
        <v>0</v>
      </c>
      <c r="P30" s="130">
        <v>0</v>
      </c>
      <c r="Q30" s="130">
        <v>0</v>
      </c>
      <c r="R30" s="130">
        <v>0</v>
      </c>
    </row>
    <row r="31" spans="1:18" s="6" customFormat="1" ht="29.25" customHeight="1" x14ac:dyDescent="0.2">
      <c r="A31" s="20"/>
      <c r="B31" s="47" t="s">
        <v>379</v>
      </c>
      <c r="C31" s="131">
        <v>0</v>
      </c>
      <c r="D31" s="131">
        <v>0</v>
      </c>
      <c r="E31" s="131">
        <v>0</v>
      </c>
      <c r="F31" s="48">
        <v>4265</v>
      </c>
      <c r="G31" s="131">
        <v>4</v>
      </c>
      <c r="H31" s="131">
        <v>115</v>
      </c>
      <c r="I31" s="131">
        <v>0</v>
      </c>
      <c r="J31" s="131">
        <v>0</v>
      </c>
      <c r="K31" s="131">
        <v>0</v>
      </c>
      <c r="L31" s="130">
        <v>0</v>
      </c>
      <c r="M31" s="130">
        <v>0</v>
      </c>
      <c r="N31" s="130">
        <v>0</v>
      </c>
      <c r="O31" s="130">
        <v>0</v>
      </c>
      <c r="P31" s="130">
        <v>0</v>
      </c>
      <c r="Q31" s="130">
        <v>0</v>
      </c>
      <c r="R31" s="130">
        <v>0</v>
      </c>
    </row>
    <row r="32" spans="1:18" s="6" customFormat="1" ht="29.25" customHeight="1" x14ac:dyDescent="0.2">
      <c r="A32" s="20"/>
      <c r="B32" s="47" t="s">
        <v>380</v>
      </c>
      <c r="C32" s="131">
        <v>0</v>
      </c>
      <c r="D32" s="131">
        <v>0</v>
      </c>
      <c r="E32" s="131">
        <v>0</v>
      </c>
      <c r="F32" s="48">
        <v>4418</v>
      </c>
      <c r="G32" s="131">
        <v>7</v>
      </c>
      <c r="H32" s="131">
        <v>111</v>
      </c>
      <c r="I32" s="131">
        <v>0</v>
      </c>
      <c r="J32" s="131">
        <v>0</v>
      </c>
      <c r="K32" s="131">
        <v>0</v>
      </c>
      <c r="L32" s="130">
        <v>0</v>
      </c>
      <c r="M32" s="130">
        <v>0</v>
      </c>
      <c r="N32" s="130">
        <v>0</v>
      </c>
      <c r="O32" s="130">
        <v>0</v>
      </c>
      <c r="P32" s="130">
        <v>0</v>
      </c>
      <c r="Q32" s="130">
        <v>0</v>
      </c>
      <c r="R32" s="130">
        <v>0</v>
      </c>
    </row>
    <row r="33" spans="1:18" s="6" customFormat="1" ht="29.25" customHeight="1" x14ac:dyDescent="0.2">
      <c r="A33" s="20"/>
      <c r="B33" s="47" t="s">
        <v>381</v>
      </c>
      <c r="C33" s="131">
        <v>0</v>
      </c>
      <c r="D33" s="131">
        <v>0</v>
      </c>
      <c r="E33" s="131">
        <v>0</v>
      </c>
      <c r="F33" s="48">
        <v>5850</v>
      </c>
      <c r="G33" s="131">
        <v>1</v>
      </c>
      <c r="H33" s="131">
        <v>157</v>
      </c>
      <c r="I33" s="131">
        <v>0</v>
      </c>
      <c r="J33" s="131">
        <v>0</v>
      </c>
      <c r="K33" s="131">
        <v>0</v>
      </c>
      <c r="L33" s="130">
        <v>0</v>
      </c>
      <c r="M33" s="130">
        <v>0</v>
      </c>
      <c r="N33" s="130">
        <v>0</v>
      </c>
      <c r="O33" s="130">
        <v>0</v>
      </c>
      <c r="P33" s="130">
        <v>0</v>
      </c>
      <c r="Q33" s="130">
        <v>0</v>
      </c>
      <c r="R33" s="130">
        <v>0</v>
      </c>
    </row>
    <row r="34" spans="1:18" s="6" customFormat="1" ht="29.25" customHeight="1" x14ac:dyDescent="0.2">
      <c r="A34" s="20"/>
      <c r="B34" s="47" t="s">
        <v>76</v>
      </c>
      <c r="C34" s="131">
        <v>0</v>
      </c>
      <c r="D34" s="131">
        <v>0</v>
      </c>
      <c r="E34" s="131">
        <v>0</v>
      </c>
      <c r="F34" s="48">
        <v>7523</v>
      </c>
      <c r="G34" s="131">
        <v>2</v>
      </c>
      <c r="H34" s="131">
        <v>159</v>
      </c>
      <c r="I34" s="131">
        <v>0</v>
      </c>
      <c r="J34" s="131">
        <v>0</v>
      </c>
      <c r="K34" s="131">
        <v>0</v>
      </c>
      <c r="L34" s="130">
        <v>0</v>
      </c>
      <c r="M34" s="130">
        <v>0</v>
      </c>
      <c r="N34" s="130">
        <v>0</v>
      </c>
      <c r="O34" s="130">
        <v>0</v>
      </c>
      <c r="P34" s="130">
        <v>0</v>
      </c>
      <c r="Q34" s="130">
        <v>0</v>
      </c>
      <c r="R34" s="130">
        <v>0</v>
      </c>
    </row>
    <row r="35" spans="1:18" s="6" customFormat="1" ht="29.25" customHeight="1" x14ac:dyDescent="0.2">
      <c r="A35" s="20"/>
      <c r="B35" s="47" t="s">
        <v>382</v>
      </c>
      <c r="C35" s="131">
        <v>0</v>
      </c>
      <c r="D35" s="131">
        <v>0</v>
      </c>
      <c r="E35" s="131">
        <v>0</v>
      </c>
      <c r="F35" s="48">
        <v>5731</v>
      </c>
      <c r="G35" s="131">
        <v>5</v>
      </c>
      <c r="H35" s="131">
        <v>107</v>
      </c>
      <c r="I35" s="131">
        <v>0</v>
      </c>
      <c r="J35" s="131">
        <v>0</v>
      </c>
      <c r="K35" s="131">
        <v>0</v>
      </c>
      <c r="L35" s="130">
        <v>0</v>
      </c>
      <c r="M35" s="130">
        <v>0</v>
      </c>
      <c r="N35" s="130">
        <v>0</v>
      </c>
      <c r="O35" s="130">
        <v>0</v>
      </c>
      <c r="P35" s="130">
        <v>0</v>
      </c>
      <c r="Q35" s="130">
        <v>0</v>
      </c>
      <c r="R35" s="130">
        <v>0</v>
      </c>
    </row>
    <row r="36" spans="1:18" s="6" customFormat="1" ht="16.5" x14ac:dyDescent="0.2">
      <c r="A36" s="20"/>
      <c r="B36" s="46" t="s">
        <v>383</v>
      </c>
      <c r="C36" s="131"/>
      <c r="D36" s="131"/>
      <c r="E36" s="131"/>
      <c r="F36" s="195">
        <f>SUM(F27:F35)</f>
        <v>67048</v>
      </c>
      <c r="G36" s="195">
        <f t="shared" ref="G36:H36" si="7">SUM(G27:G35)</f>
        <v>32</v>
      </c>
      <c r="H36" s="195">
        <f t="shared" si="7"/>
        <v>1125</v>
      </c>
      <c r="I36" s="131"/>
      <c r="J36" s="131"/>
      <c r="K36" s="131"/>
      <c r="L36" s="130"/>
      <c r="M36" s="130"/>
      <c r="N36" s="130"/>
      <c r="O36" s="130"/>
      <c r="P36" s="130"/>
      <c r="Q36" s="130"/>
      <c r="R36" s="130"/>
    </row>
    <row r="37" spans="1:18" s="6" customFormat="1" ht="51" x14ac:dyDescent="0.2">
      <c r="A37" s="20">
        <v>3</v>
      </c>
      <c r="B37" s="47" t="s">
        <v>339</v>
      </c>
      <c r="C37" s="128">
        <v>0</v>
      </c>
      <c r="D37" s="128">
        <v>1</v>
      </c>
      <c r="E37" s="128">
        <v>4</v>
      </c>
      <c r="F37" s="48">
        <v>25455</v>
      </c>
      <c r="G37" s="128">
        <v>8</v>
      </c>
      <c r="H37" s="128">
        <v>432</v>
      </c>
      <c r="I37" s="128">
        <v>0</v>
      </c>
      <c r="J37" s="128">
        <v>0</v>
      </c>
      <c r="K37" s="128">
        <v>0</v>
      </c>
      <c r="L37" s="128">
        <v>0</v>
      </c>
      <c r="M37" s="128">
        <v>1</v>
      </c>
      <c r="N37" s="128">
        <v>1</v>
      </c>
      <c r="O37" s="128">
        <v>2</v>
      </c>
      <c r="P37" s="128">
        <v>0</v>
      </c>
      <c r="Q37" s="128">
        <v>0</v>
      </c>
      <c r="R37" s="128">
        <v>0</v>
      </c>
    </row>
    <row r="38" spans="1:18" s="6" customFormat="1" ht="27.75" customHeight="1" x14ac:dyDescent="0.2">
      <c r="A38" s="20"/>
      <c r="B38" s="47" t="s">
        <v>237</v>
      </c>
      <c r="C38" s="131">
        <v>0</v>
      </c>
      <c r="D38" s="131">
        <v>0</v>
      </c>
      <c r="E38" s="131">
        <v>0</v>
      </c>
      <c r="F38" s="48">
        <v>5514</v>
      </c>
      <c r="G38" s="131">
        <v>1</v>
      </c>
      <c r="H38" s="131">
        <v>93</v>
      </c>
      <c r="I38" s="131">
        <v>0</v>
      </c>
      <c r="J38" s="131">
        <v>0</v>
      </c>
      <c r="K38" s="131">
        <v>0</v>
      </c>
      <c r="L38" s="130">
        <v>0</v>
      </c>
      <c r="M38" s="130">
        <v>0</v>
      </c>
      <c r="N38" s="130">
        <v>0</v>
      </c>
      <c r="O38" s="130">
        <v>0</v>
      </c>
      <c r="P38" s="130">
        <v>0</v>
      </c>
      <c r="Q38" s="130">
        <v>0</v>
      </c>
      <c r="R38" s="130">
        <v>0</v>
      </c>
    </row>
    <row r="39" spans="1:18" s="6" customFormat="1" ht="27.75" customHeight="1" x14ac:dyDescent="0.2">
      <c r="A39" s="20"/>
      <c r="B39" s="47" t="s">
        <v>384</v>
      </c>
      <c r="C39" s="131">
        <v>0</v>
      </c>
      <c r="D39" s="131">
        <v>0</v>
      </c>
      <c r="E39" s="131">
        <v>0</v>
      </c>
      <c r="F39" s="48">
        <v>5592</v>
      </c>
      <c r="G39" s="131">
        <v>1</v>
      </c>
      <c r="H39" s="131">
        <v>96</v>
      </c>
      <c r="I39" s="131">
        <v>0</v>
      </c>
      <c r="J39" s="131">
        <v>0</v>
      </c>
      <c r="K39" s="131">
        <v>0</v>
      </c>
      <c r="L39" s="130">
        <v>0</v>
      </c>
      <c r="M39" s="130">
        <v>0</v>
      </c>
      <c r="N39" s="130">
        <v>0</v>
      </c>
      <c r="O39" s="130">
        <v>0</v>
      </c>
      <c r="P39" s="130">
        <v>0</v>
      </c>
      <c r="Q39" s="130">
        <v>0</v>
      </c>
      <c r="R39" s="130">
        <v>0</v>
      </c>
    </row>
    <row r="40" spans="1:18" s="6" customFormat="1" ht="27.75" customHeight="1" x14ac:dyDescent="0.2">
      <c r="A40" s="20"/>
      <c r="B40" s="47" t="s">
        <v>385</v>
      </c>
      <c r="C40" s="131">
        <v>0</v>
      </c>
      <c r="D40" s="131">
        <v>0</v>
      </c>
      <c r="E40" s="131">
        <v>0</v>
      </c>
      <c r="F40" s="48">
        <v>6344</v>
      </c>
      <c r="G40" s="131">
        <v>3</v>
      </c>
      <c r="H40" s="131">
        <v>102</v>
      </c>
      <c r="I40" s="131">
        <v>0</v>
      </c>
      <c r="J40" s="131">
        <v>0</v>
      </c>
      <c r="K40" s="131">
        <v>0</v>
      </c>
      <c r="L40" s="130">
        <v>0</v>
      </c>
      <c r="M40" s="130">
        <v>0</v>
      </c>
      <c r="N40" s="130">
        <v>0</v>
      </c>
      <c r="O40" s="130">
        <v>0</v>
      </c>
      <c r="P40" s="130">
        <v>0</v>
      </c>
      <c r="Q40" s="130">
        <v>0</v>
      </c>
      <c r="R40" s="130">
        <v>0</v>
      </c>
    </row>
    <row r="41" spans="1:18" s="6" customFormat="1" ht="27.75" customHeight="1" x14ac:dyDescent="0.2">
      <c r="A41" s="20"/>
      <c r="B41" s="47" t="s">
        <v>386</v>
      </c>
      <c r="C41" s="131">
        <v>0</v>
      </c>
      <c r="D41" s="131">
        <v>0</v>
      </c>
      <c r="E41" s="131">
        <v>0</v>
      </c>
      <c r="F41" s="48">
        <v>8005</v>
      </c>
      <c r="G41" s="131">
        <v>3</v>
      </c>
      <c r="H41" s="131">
        <v>141</v>
      </c>
      <c r="I41" s="131">
        <v>0</v>
      </c>
      <c r="J41" s="131">
        <v>0</v>
      </c>
      <c r="K41" s="131">
        <v>0</v>
      </c>
      <c r="L41" s="130">
        <v>0</v>
      </c>
      <c r="M41" s="130">
        <v>0</v>
      </c>
      <c r="N41" s="130">
        <v>0</v>
      </c>
      <c r="O41" s="130">
        <v>0</v>
      </c>
      <c r="P41" s="130">
        <v>0</v>
      </c>
      <c r="Q41" s="130">
        <v>0</v>
      </c>
      <c r="R41" s="130">
        <v>0</v>
      </c>
    </row>
    <row r="42" spans="1:18" s="6" customFormat="1" ht="27.75" customHeight="1" x14ac:dyDescent="0.2">
      <c r="A42" s="20"/>
      <c r="B42" s="46" t="s">
        <v>389</v>
      </c>
      <c r="C42" s="131"/>
      <c r="D42" s="131"/>
      <c r="E42" s="131"/>
      <c r="F42" s="195">
        <f>SUM(F38:F41)</f>
        <v>25455</v>
      </c>
      <c r="G42" s="195">
        <f t="shared" ref="G42:H42" si="8">SUM(G38:G41)</f>
        <v>8</v>
      </c>
      <c r="H42" s="195">
        <f t="shared" si="8"/>
        <v>432</v>
      </c>
      <c r="I42" s="131"/>
      <c r="J42" s="131"/>
      <c r="K42" s="131"/>
      <c r="L42" s="131"/>
      <c r="M42" s="131"/>
      <c r="N42" s="131"/>
      <c r="O42" s="131"/>
      <c r="P42" s="131"/>
      <c r="Q42" s="131"/>
      <c r="R42" s="131"/>
    </row>
    <row r="43" spans="1:18" s="6" customFormat="1" ht="57" customHeight="1" x14ac:dyDescent="0.2">
      <c r="A43" s="20">
        <v>4</v>
      </c>
      <c r="B43" s="47" t="s">
        <v>340</v>
      </c>
      <c r="C43" s="128">
        <v>0</v>
      </c>
      <c r="D43" s="128">
        <v>0</v>
      </c>
      <c r="E43" s="128">
        <v>0</v>
      </c>
      <c r="F43" s="48">
        <v>1490</v>
      </c>
      <c r="G43" s="128">
        <v>0</v>
      </c>
      <c r="H43" s="128">
        <v>28</v>
      </c>
      <c r="I43" s="128">
        <v>0</v>
      </c>
      <c r="J43" s="128">
        <v>0</v>
      </c>
      <c r="K43" s="128">
        <v>0</v>
      </c>
      <c r="L43" s="128">
        <v>0</v>
      </c>
      <c r="M43" s="128">
        <v>0</v>
      </c>
      <c r="N43" s="128">
        <v>0</v>
      </c>
      <c r="O43" s="128">
        <v>0</v>
      </c>
      <c r="P43" s="128">
        <v>0</v>
      </c>
      <c r="Q43" s="128">
        <v>0</v>
      </c>
      <c r="R43" s="128">
        <v>0</v>
      </c>
    </row>
    <row r="44" spans="1:18" s="6" customFormat="1" ht="34.5" customHeight="1" x14ac:dyDescent="0.2">
      <c r="A44" s="20"/>
      <c r="B44" s="47" t="s">
        <v>387</v>
      </c>
      <c r="C44" s="131">
        <v>0</v>
      </c>
      <c r="D44" s="131">
        <v>0</v>
      </c>
      <c r="E44" s="131">
        <v>0</v>
      </c>
      <c r="F44" s="48">
        <v>1288</v>
      </c>
      <c r="G44" s="131">
        <v>0</v>
      </c>
      <c r="H44" s="131">
        <v>28</v>
      </c>
      <c r="I44" s="131">
        <v>0</v>
      </c>
      <c r="J44" s="131">
        <v>0</v>
      </c>
      <c r="K44" s="131">
        <v>0</v>
      </c>
      <c r="L44" s="130">
        <v>0</v>
      </c>
      <c r="M44" s="130">
        <v>0</v>
      </c>
      <c r="N44" s="130">
        <v>0</v>
      </c>
      <c r="O44" s="130">
        <v>0</v>
      </c>
      <c r="P44" s="130">
        <v>0</v>
      </c>
      <c r="Q44" s="130">
        <v>0</v>
      </c>
      <c r="R44" s="130">
        <v>0</v>
      </c>
    </row>
    <row r="45" spans="1:18" s="6" customFormat="1" ht="34.5" customHeight="1" x14ac:dyDescent="0.2">
      <c r="A45" s="20"/>
      <c r="B45" s="47" t="s">
        <v>388</v>
      </c>
      <c r="C45" s="131">
        <v>0</v>
      </c>
      <c r="D45" s="131">
        <v>0</v>
      </c>
      <c r="E45" s="131">
        <v>0</v>
      </c>
      <c r="F45" s="48">
        <v>202</v>
      </c>
      <c r="G45" s="131">
        <v>0</v>
      </c>
      <c r="H45" s="131">
        <v>0</v>
      </c>
      <c r="I45" s="131">
        <v>0</v>
      </c>
      <c r="J45" s="131">
        <v>0</v>
      </c>
      <c r="K45" s="131">
        <v>0</v>
      </c>
      <c r="L45" s="130">
        <v>0</v>
      </c>
      <c r="M45" s="130">
        <v>0</v>
      </c>
      <c r="N45" s="130">
        <v>0</v>
      </c>
      <c r="O45" s="130">
        <v>0</v>
      </c>
      <c r="P45" s="130">
        <v>0</v>
      </c>
      <c r="Q45" s="130">
        <v>0</v>
      </c>
      <c r="R45" s="130">
        <v>0</v>
      </c>
    </row>
    <row r="46" spans="1:18" s="6" customFormat="1" ht="34.5" customHeight="1" x14ac:dyDescent="0.2">
      <c r="A46" s="20"/>
      <c r="B46" s="46" t="s">
        <v>390</v>
      </c>
      <c r="C46" s="131"/>
      <c r="D46" s="131"/>
      <c r="E46" s="131"/>
      <c r="F46" s="195">
        <f>SUM(F44:F45)</f>
        <v>1490</v>
      </c>
      <c r="G46" s="195">
        <f t="shared" ref="G46:H46" si="9">SUM(G44:G45)</f>
        <v>0</v>
      </c>
      <c r="H46" s="195">
        <f t="shared" si="9"/>
        <v>28</v>
      </c>
      <c r="I46" s="131"/>
      <c r="J46" s="131"/>
      <c r="K46" s="131"/>
      <c r="L46" s="131"/>
      <c r="M46" s="131"/>
      <c r="N46" s="131"/>
      <c r="O46" s="131"/>
      <c r="P46" s="131"/>
      <c r="Q46" s="131"/>
      <c r="R46" s="131"/>
    </row>
    <row r="47" spans="1:18" s="6" customFormat="1" ht="48" x14ac:dyDescent="0.2">
      <c r="A47" s="20"/>
      <c r="B47" s="86" t="s">
        <v>341</v>
      </c>
      <c r="C47" s="85">
        <v>1</v>
      </c>
      <c r="D47" s="85">
        <f>SUM(D20:D44)</f>
        <v>2</v>
      </c>
      <c r="E47" s="85">
        <f>SUM(E20:E44)</f>
        <v>17</v>
      </c>
      <c r="F47" s="196">
        <f>F25+F36+F42+F46</f>
        <v>152360</v>
      </c>
      <c r="G47" s="196">
        <f t="shared" ref="G47:H47" si="10">G25+G36+G42+G46</f>
        <v>55</v>
      </c>
      <c r="H47" s="196">
        <f t="shared" si="10"/>
        <v>2278</v>
      </c>
      <c r="I47" s="85">
        <f t="shared" ref="I47:R47" si="11">SUM(I20:I43)</f>
        <v>0</v>
      </c>
      <c r="J47" s="85">
        <f t="shared" si="11"/>
        <v>0</v>
      </c>
      <c r="K47" s="85">
        <f t="shared" si="11"/>
        <v>0</v>
      </c>
      <c r="L47" s="85">
        <f t="shared" si="11"/>
        <v>0</v>
      </c>
      <c r="M47" s="85">
        <f t="shared" si="11"/>
        <v>4</v>
      </c>
      <c r="N47" s="85">
        <f t="shared" si="11"/>
        <v>1</v>
      </c>
      <c r="O47" s="85">
        <f t="shared" si="11"/>
        <v>4</v>
      </c>
      <c r="P47" s="85">
        <f t="shared" si="11"/>
        <v>0</v>
      </c>
      <c r="Q47" s="85">
        <f t="shared" si="11"/>
        <v>0</v>
      </c>
      <c r="R47" s="85">
        <f t="shared" si="11"/>
        <v>0</v>
      </c>
    </row>
    <row r="48" spans="1:18" s="6" customFormat="1" ht="37.5" hidden="1" customHeight="1" x14ac:dyDescent="0.2">
      <c r="A48" s="20"/>
      <c r="B48" s="86" t="s">
        <v>265</v>
      </c>
      <c r="C48" s="85">
        <v>1</v>
      </c>
      <c r="D48" s="85">
        <v>2</v>
      </c>
      <c r="E48" s="85">
        <f>5-3</f>
        <v>2</v>
      </c>
      <c r="F48" s="85">
        <v>62042</v>
      </c>
      <c r="G48" s="85" t="s">
        <v>167</v>
      </c>
      <c r="H48" s="85">
        <v>1330</v>
      </c>
      <c r="I48" s="85">
        <v>1</v>
      </c>
      <c r="J48" s="85">
        <v>1</v>
      </c>
      <c r="K48" s="85">
        <v>0</v>
      </c>
      <c r="L48" s="85">
        <v>0</v>
      </c>
      <c r="M48" s="85">
        <v>2</v>
      </c>
      <c r="N48" s="85">
        <v>4</v>
      </c>
      <c r="O48" s="85">
        <v>2</v>
      </c>
      <c r="P48" s="85">
        <v>0</v>
      </c>
      <c r="Q48" s="85">
        <v>1</v>
      </c>
      <c r="R48" s="85">
        <v>0</v>
      </c>
    </row>
    <row r="49" spans="1:18" s="6" customFormat="1" ht="37.5" hidden="1" customHeight="1" x14ac:dyDescent="0.2">
      <c r="A49" s="20"/>
      <c r="B49" s="86" t="s">
        <v>202</v>
      </c>
      <c r="C49" s="85">
        <f>C12+C47+C48</f>
        <v>4</v>
      </c>
      <c r="D49" s="85">
        <f t="shared" ref="D49:E49" si="12">D12+D47+D48</f>
        <v>13</v>
      </c>
      <c r="E49" s="85">
        <f t="shared" si="12"/>
        <v>72</v>
      </c>
      <c r="F49" s="85">
        <f>F12+F47</f>
        <v>708025</v>
      </c>
      <c r="G49" s="85" t="s">
        <v>168</v>
      </c>
      <c r="H49" s="85">
        <f>H12+H47</f>
        <v>10221</v>
      </c>
      <c r="I49" s="85">
        <f>I12+I47+I48</f>
        <v>4</v>
      </c>
      <c r="J49" s="85">
        <f>J12+J47+J48</f>
        <v>3</v>
      </c>
      <c r="K49" s="85">
        <f t="shared" ref="K49:R49" si="13">K12+K47</f>
        <v>1</v>
      </c>
      <c r="L49" s="85">
        <f t="shared" si="13"/>
        <v>0</v>
      </c>
      <c r="M49" s="85">
        <f t="shared" si="13"/>
        <v>10</v>
      </c>
      <c r="N49" s="85">
        <f t="shared" si="13"/>
        <v>11</v>
      </c>
      <c r="O49" s="85">
        <f t="shared" si="13"/>
        <v>13</v>
      </c>
      <c r="P49" s="85">
        <f t="shared" si="13"/>
        <v>0</v>
      </c>
      <c r="Q49" s="85">
        <f t="shared" si="13"/>
        <v>0</v>
      </c>
      <c r="R49" s="85">
        <f t="shared" si="13"/>
        <v>2</v>
      </c>
    </row>
    <row r="51" spans="1:18" ht="18.75" x14ac:dyDescent="0.25">
      <c r="A51" s="2"/>
    </row>
    <row r="55" spans="1:18" ht="29.25" customHeight="1" x14ac:dyDescent="0.2">
      <c r="K55" s="206" t="s">
        <v>394</v>
      </c>
      <c r="L55" s="205"/>
      <c r="M55" s="205"/>
      <c r="N55" s="205"/>
      <c r="O55" s="205"/>
      <c r="P55" s="205"/>
      <c r="Q55" s="205"/>
      <c r="R55" s="205"/>
    </row>
  </sheetData>
  <mergeCells count="4">
    <mergeCell ref="A2:R2"/>
    <mergeCell ref="A3:R3"/>
    <mergeCell ref="A1:R1"/>
    <mergeCell ref="K55:R55"/>
  </mergeCells>
  <printOptions horizontalCentered="1" verticalCentered="1"/>
  <pageMargins left="0.7" right="0.7" top="0.5" bottom="0.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0"/>
  <sheetViews>
    <sheetView view="pageBreakPreview" zoomScale="130" zoomScaleSheetLayoutView="130" workbookViewId="0">
      <selection activeCell="C1" sqref="C1"/>
    </sheetView>
  </sheetViews>
  <sheetFormatPr defaultRowHeight="15" x14ac:dyDescent="0.2"/>
  <cols>
    <col min="1" max="1" width="5.51171875" customWidth="1"/>
    <col min="2" max="2" width="40.48828125" customWidth="1"/>
    <col min="3" max="8" width="12.5078125" customWidth="1"/>
  </cols>
  <sheetData>
    <row r="1" spans="1:8" ht="19.5" x14ac:dyDescent="0.2">
      <c r="C1" s="197" t="s">
        <v>391</v>
      </c>
    </row>
    <row r="2" spans="1:8" ht="18" x14ac:dyDescent="0.2">
      <c r="A2" s="208" t="s">
        <v>191</v>
      </c>
      <c r="B2" s="208"/>
      <c r="C2" s="208"/>
      <c r="D2" s="208"/>
      <c r="E2" s="208"/>
      <c r="F2" s="208"/>
      <c r="G2" s="208"/>
      <c r="H2" s="208"/>
    </row>
    <row r="3" spans="1:8" ht="21.75" customHeight="1" x14ac:dyDescent="0.2">
      <c r="A3" s="207" t="s">
        <v>203</v>
      </c>
      <c r="B3" s="207"/>
      <c r="C3" s="207"/>
      <c r="D3" s="207"/>
      <c r="E3" s="207"/>
      <c r="F3" s="207"/>
      <c r="G3" s="207"/>
      <c r="H3" s="207"/>
    </row>
    <row r="4" spans="1:8" s="26" customFormat="1" ht="94.5" customHeight="1" x14ac:dyDescent="0.2">
      <c r="A4" s="81" t="s">
        <v>0</v>
      </c>
      <c r="B4" s="81" t="s">
        <v>1</v>
      </c>
      <c r="C4" s="82" t="s">
        <v>2</v>
      </c>
      <c r="D4" s="82" t="s">
        <v>3</v>
      </c>
      <c r="E4" s="82" t="s">
        <v>4</v>
      </c>
      <c r="F4" s="82" t="s">
        <v>5</v>
      </c>
      <c r="G4" s="82" t="s">
        <v>6</v>
      </c>
      <c r="H4" s="82" t="s">
        <v>7</v>
      </c>
    </row>
    <row r="5" spans="1:8" s="26" customFormat="1" ht="19.5" customHeight="1" x14ac:dyDescent="0.2">
      <c r="A5" s="20">
        <v>1</v>
      </c>
      <c r="B5" s="21" t="s">
        <v>44</v>
      </c>
      <c r="C5" s="20">
        <v>2</v>
      </c>
      <c r="D5" s="20">
        <v>9</v>
      </c>
      <c r="E5" s="20">
        <v>56</v>
      </c>
      <c r="F5" s="20">
        <v>583295</v>
      </c>
      <c r="G5" s="20">
        <v>342</v>
      </c>
      <c r="H5" s="20">
        <v>8453</v>
      </c>
    </row>
    <row r="6" spans="1:8" s="26" customFormat="1" ht="18.75" customHeight="1" x14ac:dyDescent="0.2">
      <c r="A6" s="20"/>
      <c r="B6" s="22" t="s">
        <v>13</v>
      </c>
      <c r="C6" s="20"/>
      <c r="D6" s="20"/>
      <c r="E6" s="20"/>
      <c r="F6" s="20"/>
      <c r="G6" s="20"/>
      <c r="H6" s="20"/>
    </row>
    <row r="7" spans="1:8" s="26" customFormat="1" ht="27" customHeight="1" x14ac:dyDescent="0.2">
      <c r="A7" s="20">
        <v>1</v>
      </c>
      <c r="B7" s="21" t="s">
        <v>45</v>
      </c>
      <c r="C7" s="20">
        <v>0</v>
      </c>
      <c r="D7" s="20">
        <v>0</v>
      </c>
      <c r="E7" s="20">
        <v>3</v>
      </c>
      <c r="F7" s="36">
        <f>'Annexure-IV TR FROM TPR EDC'!F11</f>
        <v>24033</v>
      </c>
      <c r="G7" s="36">
        <f>'Annexure-IV TR FROM TPR EDC'!G11</f>
        <v>34</v>
      </c>
      <c r="H7" s="36">
        <f>'Annexure-IV TR FROM TPR EDC'!H11</f>
        <v>443</v>
      </c>
    </row>
    <row r="8" spans="1:8" s="26" customFormat="1" ht="20.25" customHeight="1" x14ac:dyDescent="0.2">
      <c r="A8" s="20">
        <v>2</v>
      </c>
      <c r="B8" s="21" t="s">
        <v>111</v>
      </c>
      <c r="C8" s="20">
        <v>0</v>
      </c>
      <c r="D8" s="20">
        <v>0</v>
      </c>
      <c r="E8" s="20">
        <v>0</v>
      </c>
      <c r="F8" s="36">
        <f>'Annexure-IV TR FROM TPR EDC'!F17</f>
        <v>1166</v>
      </c>
      <c r="G8" s="36">
        <f>'Annexure-IV TR FROM TPR EDC'!G17</f>
        <v>0</v>
      </c>
      <c r="H8" s="36">
        <f>'Annexure-IV TR FROM TPR EDC'!H17</f>
        <v>13</v>
      </c>
    </row>
    <row r="9" spans="1:8" s="26" customFormat="1" ht="24" customHeight="1" x14ac:dyDescent="0.2">
      <c r="A9" s="20">
        <v>3</v>
      </c>
      <c r="B9" s="21" t="s">
        <v>112</v>
      </c>
      <c r="C9" s="20">
        <v>0</v>
      </c>
      <c r="D9" s="20">
        <v>0</v>
      </c>
      <c r="E9" s="20">
        <v>0</v>
      </c>
      <c r="F9" s="20">
        <v>2431</v>
      </c>
      <c r="G9" s="20">
        <v>1</v>
      </c>
      <c r="H9" s="23">
        <v>54</v>
      </c>
    </row>
    <row r="10" spans="1:8" s="26" customFormat="1" ht="24" customHeight="1" x14ac:dyDescent="0.2">
      <c r="A10" s="83"/>
      <c r="B10" s="87" t="s">
        <v>14</v>
      </c>
      <c r="C10" s="88">
        <f>SUM(C7:C9)</f>
        <v>0</v>
      </c>
      <c r="D10" s="88">
        <f t="shared" ref="D10:H10" si="0">SUM(D7:D9)</f>
        <v>0</v>
      </c>
      <c r="E10" s="88">
        <f t="shared" si="0"/>
        <v>3</v>
      </c>
      <c r="F10" s="88">
        <f>SUM(F7:F9)</f>
        <v>27630</v>
      </c>
      <c r="G10" s="88">
        <f t="shared" si="0"/>
        <v>35</v>
      </c>
      <c r="H10" s="88">
        <f t="shared" si="0"/>
        <v>510</v>
      </c>
    </row>
    <row r="11" spans="1:8" s="26" customFormat="1" ht="24" customHeight="1" x14ac:dyDescent="0.2">
      <c r="A11" s="83"/>
      <c r="B11" s="87" t="s">
        <v>195</v>
      </c>
      <c r="C11" s="88">
        <f>C5-C10</f>
        <v>2</v>
      </c>
      <c r="D11" s="88">
        <f t="shared" ref="D11:H11" si="1">D5-D10</f>
        <v>9</v>
      </c>
      <c r="E11" s="88">
        <f t="shared" si="1"/>
        <v>53</v>
      </c>
      <c r="F11" s="88">
        <f t="shared" si="1"/>
        <v>555665</v>
      </c>
      <c r="G11" s="88">
        <f t="shared" si="1"/>
        <v>307</v>
      </c>
      <c r="H11" s="88">
        <f t="shared" si="1"/>
        <v>7943</v>
      </c>
    </row>
    <row r="12" spans="1:8" s="26" customFormat="1" ht="24" customHeight="1" x14ac:dyDescent="0.2">
      <c r="A12" s="83"/>
      <c r="B12" s="89" t="s">
        <v>193</v>
      </c>
      <c r="C12" s="88"/>
      <c r="D12" s="88"/>
      <c r="E12" s="88"/>
      <c r="F12" s="88"/>
      <c r="G12" s="88"/>
      <c r="H12" s="88"/>
    </row>
    <row r="13" spans="1:8" s="26" customFormat="1" ht="24.75" customHeight="1" x14ac:dyDescent="0.2">
      <c r="A13" s="20">
        <v>1</v>
      </c>
      <c r="B13" s="13" t="s">
        <v>147</v>
      </c>
      <c r="C13" s="29">
        <v>0</v>
      </c>
      <c r="D13" s="29">
        <v>0</v>
      </c>
      <c r="E13" s="29">
        <v>5</v>
      </c>
      <c r="F13" s="36">
        <f>'Annexure-II'!F12</f>
        <v>34927</v>
      </c>
      <c r="G13" s="36" t="str">
        <f>'Annexure-II'!G12</f>
        <v>41 + (1EHT)</v>
      </c>
      <c r="H13" s="36">
        <f>'Annexure-II'!H12</f>
        <v>865</v>
      </c>
    </row>
    <row r="14" spans="1:8" s="26" customFormat="1" ht="26.25" customHeight="1" x14ac:dyDescent="0.2">
      <c r="A14" s="20">
        <v>2</v>
      </c>
      <c r="B14" s="13" t="s">
        <v>144</v>
      </c>
      <c r="C14" s="30">
        <v>0</v>
      </c>
      <c r="D14" s="30">
        <v>0</v>
      </c>
      <c r="E14" s="30">
        <v>0</v>
      </c>
      <c r="F14" s="3">
        <f>'Annexure-IV TR FROM OTHER EDC '!F18</f>
        <v>1660</v>
      </c>
      <c r="G14" s="3">
        <f>'Annexure-IV TR FROM OTHER EDC '!G18</f>
        <v>1</v>
      </c>
      <c r="H14" s="3">
        <f>'Annexure-IV TR FROM OTHER EDC '!H18</f>
        <v>33</v>
      </c>
    </row>
    <row r="15" spans="1:8" s="26" customFormat="1" ht="33" customHeight="1" x14ac:dyDescent="0.2">
      <c r="A15" s="20">
        <v>3</v>
      </c>
      <c r="B15" s="13" t="s">
        <v>145</v>
      </c>
      <c r="C15" s="30">
        <v>0</v>
      </c>
      <c r="D15" s="30">
        <v>1</v>
      </c>
      <c r="E15" s="30">
        <v>4</v>
      </c>
      <c r="F15" s="36">
        <v>25455</v>
      </c>
      <c r="G15" s="36">
        <v>8</v>
      </c>
      <c r="H15" s="36">
        <v>432</v>
      </c>
    </row>
    <row r="16" spans="1:8" s="26" customFormat="1" ht="30" customHeight="1" x14ac:dyDescent="0.2">
      <c r="A16" s="20"/>
      <c r="B16" s="24" t="s">
        <v>194</v>
      </c>
      <c r="C16" s="25">
        <f>SUM(C13:C15)</f>
        <v>0</v>
      </c>
      <c r="D16" s="30">
        <f t="shared" ref="D16:H16" si="2">SUM(D13:D15)</f>
        <v>1</v>
      </c>
      <c r="E16" s="30">
        <f t="shared" si="2"/>
        <v>9</v>
      </c>
      <c r="F16" s="30">
        <f t="shared" si="2"/>
        <v>62042</v>
      </c>
      <c r="G16" s="66" t="s">
        <v>165</v>
      </c>
      <c r="H16" s="30">
        <f t="shared" si="2"/>
        <v>1330</v>
      </c>
    </row>
    <row r="17" spans="1:8" s="26" customFormat="1" ht="24" customHeight="1" x14ac:dyDescent="0.2">
      <c r="A17" s="20"/>
      <c r="B17" s="24" t="s">
        <v>266</v>
      </c>
      <c r="C17" s="66">
        <v>1</v>
      </c>
      <c r="D17" s="66">
        <v>2</v>
      </c>
      <c r="E17" s="66">
        <f>5-3</f>
        <v>2</v>
      </c>
      <c r="F17" s="66"/>
      <c r="G17" s="66"/>
      <c r="H17" s="66"/>
    </row>
    <row r="18" spans="1:8" s="26" customFormat="1" ht="30.75" customHeight="1" x14ac:dyDescent="0.15">
      <c r="A18" s="20"/>
      <c r="B18" s="24" t="s">
        <v>204</v>
      </c>
      <c r="C18" s="25">
        <f>C11+C16+C17</f>
        <v>3</v>
      </c>
      <c r="D18" s="66">
        <f>D11+D16+D17</f>
        <v>12</v>
      </c>
      <c r="E18" s="66">
        <f>E11+E16+E17</f>
        <v>64</v>
      </c>
      <c r="F18" s="66">
        <f t="shared" ref="F18:H18" si="3">F11+F16</f>
        <v>617707</v>
      </c>
      <c r="G18" s="66" t="s">
        <v>196</v>
      </c>
      <c r="H18" s="66">
        <f t="shared" si="3"/>
        <v>9273</v>
      </c>
    </row>
    <row r="20" spans="1:8" ht="18.75" x14ac:dyDescent="0.25">
      <c r="A20" s="2"/>
    </row>
  </sheetData>
  <mergeCells count="2">
    <mergeCell ref="A3:H3"/>
    <mergeCell ref="A2:H2"/>
  </mergeCells>
  <printOptions horizontalCentered="1" verticalCentered="1"/>
  <pageMargins left="0.7" right="0.23" top="0.45" bottom="0.47"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view="pageBreakPreview" zoomScale="90" zoomScaleSheetLayoutView="90" workbookViewId="0">
      <selection sqref="A1:H1"/>
    </sheetView>
  </sheetViews>
  <sheetFormatPr defaultRowHeight="24.95" customHeight="1" x14ac:dyDescent="0.2"/>
  <cols>
    <col min="1" max="1" width="8.47265625" customWidth="1"/>
    <col min="2" max="2" width="29.99609375" customWidth="1"/>
    <col min="3" max="3" width="17.21875" customWidth="1"/>
    <col min="4" max="4" width="16.0078125" customWidth="1"/>
    <col min="5" max="5" width="27.57421875" customWidth="1"/>
    <col min="6" max="6" width="17.21875" customWidth="1"/>
    <col min="7" max="7" width="16.140625" customWidth="1"/>
    <col min="8" max="8" width="12.10546875" customWidth="1"/>
  </cols>
  <sheetData>
    <row r="1" spans="1:8" ht="24.95" customHeight="1" x14ac:dyDescent="0.2">
      <c r="A1" s="211" t="s">
        <v>395</v>
      </c>
      <c r="B1" s="211"/>
      <c r="C1" s="211"/>
      <c r="D1" s="211"/>
      <c r="E1" s="211"/>
      <c r="F1" s="211"/>
      <c r="G1" s="211"/>
      <c r="H1" s="211"/>
    </row>
    <row r="2" spans="1:8" ht="24.95" customHeight="1" x14ac:dyDescent="0.2">
      <c r="A2" s="218" t="s">
        <v>113</v>
      </c>
      <c r="B2" s="218"/>
      <c r="C2" s="218"/>
      <c r="D2" s="218"/>
      <c r="E2" s="218"/>
      <c r="F2" s="218"/>
      <c r="G2" s="218"/>
      <c r="H2" s="218"/>
    </row>
    <row r="3" spans="1:8" ht="22.5" customHeight="1" x14ac:dyDescent="0.2">
      <c r="A3" s="228" t="s">
        <v>210</v>
      </c>
      <c r="B3" s="228"/>
      <c r="C3" s="228"/>
      <c r="D3" s="228"/>
      <c r="E3" s="228"/>
      <c r="F3" s="228"/>
      <c r="G3" s="228"/>
      <c r="H3" s="228"/>
    </row>
    <row r="4" spans="1:8" s="27" customFormat="1" ht="30.75" customHeight="1" x14ac:dyDescent="0.2">
      <c r="A4" s="90" t="s">
        <v>17</v>
      </c>
      <c r="B4" s="90" t="s">
        <v>18</v>
      </c>
      <c r="C4" s="90" t="s">
        <v>19</v>
      </c>
      <c r="D4" s="90" t="s">
        <v>20</v>
      </c>
      <c r="E4" s="90" t="s">
        <v>21</v>
      </c>
      <c r="F4" s="219" t="s">
        <v>22</v>
      </c>
      <c r="G4" s="219"/>
      <c r="H4" s="219"/>
    </row>
    <row r="5" spans="1:8" s="27" customFormat="1" ht="24.95" customHeight="1" x14ac:dyDescent="0.2">
      <c r="A5" s="90"/>
      <c r="B5" s="90"/>
      <c r="C5" s="90"/>
      <c r="D5" s="90"/>
      <c r="E5" s="90"/>
      <c r="F5" s="88" t="s">
        <v>23</v>
      </c>
      <c r="G5" s="88" t="s">
        <v>24</v>
      </c>
      <c r="H5" s="88" t="s">
        <v>25</v>
      </c>
    </row>
    <row r="6" spans="1:8" ht="33" customHeight="1" x14ac:dyDescent="0.2">
      <c r="A6" s="4">
        <v>1</v>
      </c>
      <c r="B6" s="220" t="s">
        <v>114</v>
      </c>
      <c r="C6" s="223" t="s">
        <v>39</v>
      </c>
      <c r="D6" s="223" t="s">
        <v>115</v>
      </c>
      <c r="E6" s="51" t="s">
        <v>115</v>
      </c>
      <c r="F6" s="52">
        <f>'Annexure-V'!R59</f>
        <v>11763</v>
      </c>
      <c r="G6" s="53">
        <f>'Annexure-V'!S59</f>
        <v>17</v>
      </c>
      <c r="H6" s="53">
        <f>'Annexure-V'!T59</f>
        <v>151</v>
      </c>
    </row>
    <row r="7" spans="1:8" ht="32.25" customHeight="1" x14ac:dyDescent="0.2">
      <c r="A7" s="4">
        <v>2</v>
      </c>
      <c r="B7" s="221"/>
      <c r="C7" s="224"/>
      <c r="D7" s="224"/>
      <c r="E7" s="51" t="s">
        <v>116</v>
      </c>
      <c r="F7" s="52">
        <f>'Annexure-V'!R60</f>
        <v>2706</v>
      </c>
      <c r="G7" s="53">
        <f>'Annexure-V'!S60</f>
        <v>6</v>
      </c>
      <c r="H7" s="53">
        <f>'Annexure-V'!T60</f>
        <v>80</v>
      </c>
    </row>
    <row r="8" spans="1:8" ht="28.5" customHeight="1" x14ac:dyDescent="0.2">
      <c r="A8" s="4">
        <v>3</v>
      </c>
      <c r="B8" s="221"/>
      <c r="C8" s="224"/>
      <c r="D8" s="224"/>
      <c r="E8" s="51" t="s">
        <v>117</v>
      </c>
      <c r="F8" s="52">
        <f>'Annexure-V'!R61</f>
        <v>6206</v>
      </c>
      <c r="G8" s="53">
        <f>'Annexure-V'!S61</f>
        <v>5</v>
      </c>
      <c r="H8" s="53">
        <f>'Annexure-V'!T61</f>
        <v>135</v>
      </c>
    </row>
    <row r="9" spans="1:8" ht="28.5" customHeight="1" x14ac:dyDescent="0.2">
      <c r="A9" s="4">
        <v>4</v>
      </c>
      <c r="B9" s="221"/>
      <c r="C9" s="224"/>
      <c r="D9" s="224"/>
      <c r="E9" s="51" t="s">
        <v>108</v>
      </c>
      <c r="F9" s="52">
        <f>'Annexure-V'!R62</f>
        <v>1440</v>
      </c>
      <c r="G9" s="53">
        <f>'Annexure-V'!S62</f>
        <v>0</v>
      </c>
      <c r="H9" s="53">
        <f>'Annexure-V'!T62</f>
        <v>45</v>
      </c>
    </row>
    <row r="10" spans="1:8" ht="28.5" customHeight="1" x14ac:dyDescent="0.2">
      <c r="A10" s="4">
        <v>5</v>
      </c>
      <c r="B10" s="221"/>
      <c r="C10" s="224"/>
      <c r="D10" s="224"/>
      <c r="E10" s="51" t="s">
        <v>118</v>
      </c>
      <c r="F10" s="52">
        <f>'Annexure-V'!R63</f>
        <v>1918</v>
      </c>
      <c r="G10" s="53">
        <f>'Annexure-V'!S63</f>
        <v>6</v>
      </c>
      <c r="H10" s="53">
        <f>'Annexure-V'!T63</f>
        <v>32</v>
      </c>
    </row>
    <row r="11" spans="1:8" ht="24" customHeight="1" x14ac:dyDescent="0.2">
      <c r="A11" s="4"/>
      <c r="B11" s="225" t="s">
        <v>197</v>
      </c>
      <c r="C11" s="225"/>
      <c r="D11" s="225"/>
      <c r="E11" s="91" t="s">
        <v>140</v>
      </c>
      <c r="F11" s="92">
        <f>SUM(F6:F10)</f>
        <v>24033</v>
      </c>
      <c r="G11" s="93">
        <f>SUM(G6:G10)</f>
        <v>34</v>
      </c>
      <c r="H11" s="93">
        <f>SUM(H6:H10)</f>
        <v>443</v>
      </c>
    </row>
    <row r="12" spans="1:8" ht="30" customHeight="1" x14ac:dyDescent="0.2">
      <c r="A12" s="4"/>
      <c r="B12" s="229" t="s">
        <v>205</v>
      </c>
      <c r="C12" s="230"/>
      <c r="D12" s="230"/>
      <c r="E12" s="230"/>
      <c r="F12" s="230"/>
      <c r="G12" s="230"/>
      <c r="H12" s="231"/>
    </row>
    <row r="13" spans="1:8" ht="41.25" customHeight="1" x14ac:dyDescent="0.2">
      <c r="A13" s="4">
        <v>1</v>
      </c>
      <c r="B13" s="226" t="s">
        <v>119</v>
      </c>
      <c r="C13" s="227" t="s">
        <v>39</v>
      </c>
      <c r="D13" s="220" t="s">
        <v>123</v>
      </c>
      <c r="E13" s="51" t="s">
        <v>93</v>
      </c>
      <c r="F13" s="52">
        <f>'Annexure-V'!O45</f>
        <v>31</v>
      </c>
      <c r="G13" s="53">
        <f>'Annexure-V'!P45</f>
        <v>0</v>
      </c>
      <c r="H13" s="53">
        <f>'Annexure-V'!Q45</f>
        <v>1</v>
      </c>
    </row>
    <row r="14" spans="1:8" ht="41.25" customHeight="1" x14ac:dyDescent="0.2">
      <c r="A14" s="4">
        <v>2</v>
      </c>
      <c r="B14" s="226"/>
      <c r="C14" s="227"/>
      <c r="D14" s="221"/>
      <c r="E14" s="51" t="s">
        <v>86</v>
      </c>
      <c r="F14" s="52">
        <f>'Annexure-V'!O36</f>
        <v>156</v>
      </c>
      <c r="G14" s="53">
        <f>'Annexure-V'!P36</f>
        <v>0</v>
      </c>
      <c r="H14" s="53">
        <f>'Annexure-V'!Q36</f>
        <v>4</v>
      </c>
    </row>
    <row r="15" spans="1:8" ht="41.25" customHeight="1" x14ac:dyDescent="0.2">
      <c r="A15" s="4">
        <v>3</v>
      </c>
      <c r="B15" s="226"/>
      <c r="C15" s="227"/>
      <c r="D15" s="222"/>
      <c r="E15" s="51" t="s">
        <v>87</v>
      </c>
      <c r="F15" s="52">
        <f>'Annexure-V'!O37</f>
        <v>678</v>
      </c>
      <c r="G15" s="53">
        <f>'Annexure-V'!P37</f>
        <v>0</v>
      </c>
      <c r="H15" s="53">
        <f>'Annexure-V'!Q37</f>
        <v>6</v>
      </c>
    </row>
    <row r="16" spans="1:8" ht="41.25" customHeight="1" x14ac:dyDescent="0.2">
      <c r="A16" s="4">
        <v>4</v>
      </c>
      <c r="B16" s="226"/>
      <c r="C16" s="227"/>
      <c r="D16" s="53" t="s">
        <v>115</v>
      </c>
      <c r="E16" s="51" t="s">
        <v>116</v>
      </c>
      <c r="F16" s="52">
        <f>'Annexure-V'!O60</f>
        <v>301</v>
      </c>
      <c r="G16" s="53">
        <f>'Annexure-V'!P60</f>
        <v>0</v>
      </c>
      <c r="H16" s="53">
        <f>'Annexure-V'!Q60</f>
        <v>2</v>
      </c>
    </row>
    <row r="17" spans="1:8" ht="41.25" customHeight="1" x14ac:dyDescent="0.2">
      <c r="A17" s="4"/>
      <c r="B17" s="212" t="s">
        <v>207</v>
      </c>
      <c r="C17" s="212"/>
      <c r="D17" s="212"/>
      <c r="E17" s="94" t="s">
        <v>140</v>
      </c>
      <c r="F17" s="95">
        <f>SUM(F13:F16)</f>
        <v>1166</v>
      </c>
      <c r="G17" s="95">
        <f t="shared" ref="G17:H17" si="0">SUM(G13:G16)</f>
        <v>0</v>
      </c>
      <c r="H17" s="95">
        <f t="shared" si="0"/>
        <v>13</v>
      </c>
    </row>
    <row r="18" spans="1:8" ht="31.5" customHeight="1" x14ac:dyDescent="0.2">
      <c r="A18" s="4"/>
      <c r="B18" s="232" t="s">
        <v>206</v>
      </c>
      <c r="C18" s="233"/>
      <c r="D18" s="233"/>
      <c r="E18" s="233"/>
      <c r="F18" s="233"/>
      <c r="G18" s="233"/>
      <c r="H18" s="234"/>
    </row>
    <row r="19" spans="1:8" ht="33.75" customHeight="1" x14ac:dyDescent="0.2">
      <c r="A19" s="4"/>
      <c r="B19" s="39" t="s">
        <v>120</v>
      </c>
      <c r="C19" s="68" t="s">
        <v>38</v>
      </c>
      <c r="D19" s="68" t="s">
        <v>122</v>
      </c>
      <c r="E19" s="67" t="s">
        <v>121</v>
      </c>
      <c r="F19" s="52">
        <v>2431</v>
      </c>
      <c r="G19" s="74">
        <v>1</v>
      </c>
      <c r="H19" s="74">
        <v>54</v>
      </c>
    </row>
    <row r="20" spans="1:8" ht="33.75" customHeight="1" x14ac:dyDescent="0.2">
      <c r="A20" s="4"/>
      <c r="B20" s="213" t="s">
        <v>208</v>
      </c>
      <c r="C20" s="214"/>
      <c r="D20" s="214"/>
      <c r="E20" s="96" t="s">
        <v>140</v>
      </c>
      <c r="F20" s="92">
        <v>2431</v>
      </c>
      <c r="G20" s="93">
        <v>1</v>
      </c>
      <c r="H20" s="93">
        <v>54</v>
      </c>
    </row>
    <row r="21" spans="1:8" ht="24.95" customHeight="1" x14ac:dyDescent="0.2">
      <c r="A21" s="4"/>
      <c r="B21" s="53"/>
      <c r="C21" s="215" t="s">
        <v>209</v>
      </c>
      <c r="D21" s="216"/>
      <c r="E21" s="217"/>
      <c r="F21" s="54">
        <f>SUM(F11,F17,F20)</f>
        <v>27630</v>
      </c>
      <c r="G21" s="54">
        <f t="shared" ref="G21:H21" si="1">SUM(G11,G17,G20)</f>
        <v>35</v>
      </c>
      <c r="H21" s="54">
        <f t="shared" si="1"/>
        <v>510</v>
      </c>
    </row>
    <row r="24" spans="1:8" ht="31.5" customHeight="1" x14ac:dyDescent="0.2">
      <c r="E24" s="209" t="s">
        <v>396</v>
      </c>
      <c r="F24" s="210"/>
      <c r="G24" s="210"/>
      <c r="H24" s="210"/>
    </row>
  </sheetData>
  <mergeCells count="17">
    <mergeCell ref="B18:H18"/>
    <mergeCell ref="E24:H24"/>
    <mergeCell ref="A1:H1"/>
    <mergeCell ref="B17:D17"/>
    <mergeCell ref="B20:D20"/>
    <mergeCell ref="C21:E21"/>
    <mergeCell ref="A2:H2"/>
    <mergeCell ref="F4:H4"/>
    <mergeCell ref="D13:D15"/>
    <mergeCell ref="B6:B10"/>
    <mergeCell ref="C6:C10"/>
    <mergeCell ref="D6:D10"/>
    <mergeCell ref="B11:D11"/>
    <mergeCell ref="B13:B16"/>
    <mergeCell ref="C13:C16"/>
    <mergeCell ref="A3:H3"/>
    <mergeCell ref="B12:H12"/>
  </mergeCells>
  <printOptions horizontalCentered="1"/>
  <pageMargins left="0.7" right="0.15" top="0.25" bottom="0.2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tabSelected="1" view="pageBreakPreview" topLeftCell="A16" zoomScaleSheetLayoutView="100" workbookViewId="0">
      <selection activeCell="D31" sqref="D31"/>
    </sheetView>
  </sheetViews>
  <sheetFormatPr defaultRowHeight="15" x14ac:dyDescent="0.2"/>
  <cols>
    <col min="1" max="1" width="6.05078125" customWidth="1"/>
    <col min="2" max="2" width="29.99609375" customWidth="1"/>
    <col min="3" max="3" width="15.73828125" bestFit="1" customWidth="1"/>
    <col min="4" max="4" width="16.6796875" bestFit="1" customWidth="1"/>
    <col min="5" max="5" width="29.86328125" customWidth="1"/>
    <col min="6" max="6" width="8.47265625" bestFit="1" customWidth="1"/>
    <col min="7" max="7" width="15.73828125" bestFit="1" customWidth="1"/>
    <col min="8" max="8" width="6.9921875" bestFit="1" customWidth="1"/>
  </cols>
  <sheetData>
    <row r="1" spans="1:9" x14ac:dyDescent="0.2">
      <c r="A1" s="235" t="s">
        <v>395</v>
      </c>
      <c r="B1" s="235"/>
      <c r="C1" s="235"/>
      <c r="D1" s="235"/>
      <c r="E1" s="235"/>
      <c r="F1" s="235"/>
      <c r="G1" s="235"/>
      <c r="H1" s="235"/>
    </row>
    <row r="2" spans="1:9" x14ac:dyDescent="0.2">
      <c r="A2" s="254" t="s">
        <v>190</v>
      </c>
      <c r="B2" s="254"/>
      <c r="C2" s="254"/>
      <c r="D2" s="254"/>
      <c r="E2" s="254"/>
      <c r="F2" s="254"/>
      <c r="G2" s="254"/>
      <c r="H2" s="254"/>
    </row>
    <row r="3" spans="1:9" x14ac:dyDescent="0.2">
      <c r="A3" s="254" t="s">
        <v>210</v>
      </c>
      <c r="B3" s="254"/>
      <c r="C3" s="254"/>
      <c r="D3" s="254"/>
      <c r="E3" s="254"/>
      <c r="F3" s="254"/>
      <c r="G3" s="254"/>
      <c r="H3" s="254"/>
    </row>
    <row r="4" spans="1:9" s="27" customFormat="1" ht="30.75" x14ac:dyDescent="0.2">
      <c r="A4" s="100" t="s">
        <v>17</v>
      </c>
      <c r="B4" s="100" t="s">
        <v>18</v>
      </c>
      <c r="C4" s="100" t="s">
        <v>19</v>
      </c>
      <c r="D4" s="100" t="s">
        <v>20</v>
      </c>
      <c r="E4" s="100" t="s">
        <v>21</v>
      </c>
      <c r="F4" s="249" t="s">
        <v>22</v>
      </c>
      <c r="G4" s="249"/>
      <c r="H4" s="249"/>
    </row>
    <row r="5" spans="1:9" s="27" customFormat="1" x14ac:dyDescent="0.2">
      <c r="A5" s="22"/>
      <c r="B5" s="22"/>
      <c r="C5" s="22"/>
      <c r="D5" s="22"/>
      <c r="E5" s="22"/>
      <c r="F5" s="29" t="s">
        <v>23</v>
      </c>
      <c r="G5" s="29" t="s">
        <v>24</v>
      </c>
      <c r="H5" s="29" t="s">
        <v>25</v>
      </c>
    </row>
    <row r="6" spans="1:9" x14ac:dyDescent="0.2">
      <c r="A6" s="20">
        <v>1</v>
      </c>
      <c r="B6" s="241" t="s">
        <v>157</v>
      </c>
      <c r="C6" s="243" t="s">
        <v>131</v>
      </c>
      <c r="D6" s="243" t="s">
        <v>132</v>
      </c>
      <c r="E6" s="32" t="s">
        <v>133</v>
      </c>
      <c r="F6" s="33">
        <f>3947+5+471+168+15</f>
        <v>4606</v>
      </c>
      <c r="G6" s="34">
        <v>11</v>
      </c>
      <c r="H6" s="34">
        <v>156</v>
      </c>
      <c r="I6" s="27"/>
    </row>
    <row r="7" spans="1:9" x14ac:dyDescent="0.2">
      <c r="A7" s="20">
        <v>2</v>
      </c>
      <c r="B7" s="242"/>
      <c r="C7" s="244"/>
      <c r="D7" s="245"/>
      <c r="E7" s="32" t="s">
        <v>134</v>
      </c>
      <c r="F7" s="33">
        <f>4170+6+492+81+8</f>
        <v>4757</v>
      </c>
      <c r="G7" s="34" t="s">
        <v>135</v>
      </c>
      <c r="H7" s="34">
        <v>128</v>
      </c>
      <c r="I7" s="27"/>
    </row>
    <row r="8" spans="1:9" x14ac:dyDescent="0.2">
      <c r="A8" s="20">
        <v>3</v>
      </c>
      <c r="B8" s="242"/>
      <c r="C8" s="244"/>
      <c r="D8" s="243" t="s">
        <v>136</v>
      </c>
      <c r="E8" s="32" t="s">
        <v>137</v>
      </c>
      <c r="F8" s="33">
        <f>8782+21+12</f>
        <v>8815</v>
      </c>
      <c r="G8" s="34">
        <v>10</v>
      </c>
      <c r="H8" s="34">
        <v>268</v>
      </c>
      <c r="I8" s="27"/>
    </row>
    <row r="9" spans="1:9" x14ac:dyDescent="0.2">
      <c r="A9" s="20">
        <v>4</v>
      </c>
      <c r="B9" s="242"/>
      <c r="C9" s="244"/>
      <c r="D9" s="244"/>
      <c r="E9" s="32" t="s">
        <v>138</v>
      </c>
      <c r="F9" s="33">
        <v>7285</v>
      </c>
      <c r="G9" s="34">
        <v>1</v>
      </c>
      <c r="H9" s="34">
        <v>178</v>
      </c>
      <c r="I9" s="27"/>
    </row>
    <row r="10" spans="1:9" x14ac:dyDescent="0.2">
      <c r="A10" s="20">
        <v>5</v>
      </c>
      <c r="B10" s="242"/>
      <c r="C10" s="244"/>
      <c r="D10" s="245"/>
      <c r="E10" s="32" t="s">
        <v>139</v>
      </c>
      <c r="F10" s="33">
        <v>9464</v>
      </c>
      <c r="G10" s="34">
        <v>4</v>
      </c>
      <c r="H10" s="34">
        <v>135</v>
      </c>
      <c r="I10" s="27"/>
    </row>
    <row r="11" spans="1:9" ht="30.75" x14ac:dyDescent="0.2">
      <c r="A11" s="20">
        <v>6</v>
      </c>
      <c r="B11" s="242"/>
      <c r="C11" s="244"/>
      <c r="D11" s="35"/>
      <c r="E11" s="98" t="s">
        <v>211</v>
      </c>
      <c r="F11" s="99">
        <f>SUM(F6:F10)</f>
        <v>34927</v>
      </c>
      <c r="G11" s="99" t="s">
        <v>141</v>
      </c>
      <c r="H11" s="99">
        <f t="shared" ref="H11" si="0">SUM(H6:H10)</f>
        <v>865</v>
      </c>
      <c r="I11" s="27"/>
    </row>
    <row r="12" spans="1:9" x14ac:dyDescent="0.2">
      <c r="A12" s="22"/>
      <c r="B12" s="256" t="s">
        <v>213</v>
      </c>
      <c r="C12" s="257"/>
      <c r="D12" s="257"/>
      <c r="E12" s="257"/>
      <c r="F12" s="257"/>
      <c r="G12" s="257"/>
      <c r="H12" s="257"/>
      <c r="I12" s="27"/>
    </row>
    <row r="13" spans="1:9" s="27" customFormat="1" ht="30.75" x14ac:dyDescent="0.2">
      <c r="A13" s="100" t="s">
        <v>17</v>
      </c>
      <c r="B13" s="100" t="s">
        <v>18</v>
      </c>
      <c r="C13" s="100" t="s">
        <v>19</v>
      </c>
      <c r="D13" s="100" t="s">
        <v>20</v>
      </c>
      <c r="E13" s="100" t="s">
        <v>21</v>
      </c>
      <c r="F13" s="249" t="s">
        <v>22</v>
      </c>
      <c r="G13" s="249"/>
      <c r="H13" s="249"/>
    </row>
    <row r="14" spans="1:9" x14ac:dyDescent="0.2">
      <c r="A14" s="4">
        <v>1</v>
      </c>
      <c r="B14" s="255" t="s">
        <v>158</v>
      </c>
      <c r="C14" s="258" t="s">
        <v>151</v>
      </c>
      <c r="D14" s="31" t="s">
        <v>148</v>
      </c>
      <c r="E14" s="32" t="s">
        <v>149</v>
      </c>
      <c r="F14" s="33">
        <v>151</v>
      </c>
      <c r="G14" s="34">
        <v>0</v>
      </c>
      <c r="H14" s="34">
        <v>4</v>
      </c>
    </row>
    <row r="15" spans="1:9" x14ac:dyDescent="0.2">
      <c r="A15" s="4">
        <v>2</v>
      </c>
      <c r="B15" s="250"/>
      <c r="C15" s="252"/>
      <c r="D15" s="34" t="s">
        <v>148</v>
      </c>
      <c r="E15" s="32" t="s">
        <v>150</v>
      </c>
      <c r="F15" s="33">
        <v>1288</v>
      </c>
      <c r="G15" s="34">
        <v>0</v>
      </c>
      <c r="H15" s="34">
        <v>28</v>
      </c>
    </row>
    <row r="16" spans="1:9" x14ac:dyDescent="0.2">
      <c r="A16" s="4">
        <v>3</v>
      </c>
      <c r="B16" s="250"/>
      <c r="C16" s="253"/>
      <c r="D16" s="31" t="s">
        <v>152</v>
      </c>
      <c r="E16" s="32" t="s">
        <v>153</v>
      </c>
      <c r="F16" s="33">
        <v>202</v>
      </c>
      <c r="G16" s="34">
        <v>0</v>
      </c>
      <c r="H16" s="34">
        <v>0</v>
      </c>
    </row>
    <row r="17" spans="1:8" x14ac:dyDescent="0.2">
      <c r="A17" s="4">
        <v>4</v>
      </c>
      <c r="B17" s="250"/>
      <c r="C17" s="31" t="s">
        <v>154</v>
      </c>
      <c r="D17" s="31" t="s">
        <v>155</v>
      </c>
      <c r="E17" s="32" t="s">
        <v>156</v>
      </c>
      <c r="F17" s="33">
        <v>19</v>
      </c>
      <c r="G17" s="34">
        <v>1</v>
      </c>
      <c r="H17" s="34">
        <v>1</v>
      </c>
    </row>
    <row r="18" spans="1:8" x14ac:dyDescent="0.2">
      <c r="A18" s="4">
        <v>5</v>
      </c>
      <c r="B18" s="251"/>
      <c r="C18" s="28"/>
      <c r="D18" s="28"/>
      <c r="E18" s="98" t="s">
        <v>140</v>
      </c>
      <c r="F18" s="119">
        <f>SUM(F14:F17)</f>
        <v>1660</v>
      </c>
      <c r="G18" s="119">
        <f t="shared" ref="G18:H18" si="1">SUM(G14:G17)</f>
        <v>1</v>
      </c>
      <c r="H18" s="119">
        <f t="shared" si="1"/>
        <v>33</v>
      </c>
    </row>
    <row r="19" spans="1:8" x14ac:dyDescent="0.2">
      <c r="A19" s="4"/>
      <c r="B19" s="246" t="s">
        <v>212</v>
      </c>
      <c r="C19" s="247"/>
      <c r="D19" s="247"/>
      <c r="E19" s="247"/>
      <c r="F19" s="247"/>
      <c r="G19" s="247"/>
      <c r="H19" s="248"/>
    </row>
    <row r="20" spans="1:8" s="27" customFormat="1" ht="30.75" x14ac:dyDescent="0.2">
      <c r="A20" s="97" t="s">
        <v>17</v>
      </c>
      <c r="B20" s="98" t="s">
        <v>18</v>
      </c>
      <c r="C20" s="98" t="s">
        <v>19</v>
      </c>
      <c r="D20" s="98" t="s">
        <v>20</v>
      </c>
      <c r="E20" s="100" t="s">
        <v>21</v>
      </c>
      <c r="F20" s="249" t="s">
        <v>22</v>
      </c>
      <c r="G20" s="249"/>
      <c r="H20" s="249"/>
    </row>
    <row r="21" spans="1:8" s="27" customFormat="1" x14ac:dyDescent="0.2">
      <c r="A21" s="97"/>
      <c r="B21" s="250" t="s">
        <v>214</v>
      </c>
      <c r="C21" s="252" t="s">
        <v>159</v>
      </c>
      <c r="D21" s="252" t="s">
        <v>160</v>
      </c>
      <c r="E21" s="103" t="s">
        <v>237</v>
      </c>
      <c r="F21" s="103">
        <v>5514</v>
      </c>
      <c r="G21" s="103">
        <v>1</v>
      </c>
      <c r="H21" s="103">
        <v>93</v>
      </c>
    </row>
    <row r="22" spans="1:8" x14ac:dyDescent="0.2">
      <c r="A22" s="4">
        <v>2</v>
      </c>
      <c r="B22" s="250"/>
      <c r="C22" s="252"/>
      <c r="D22" s="252"/>
      <c r="E22" s="21" t="s">
        <v>161</v>
      </c>
      <c r="F22" s="3">
        <v>10534</v>
      </c>
      <c r="G22" s="4">
        <v>3</v>
      </c>
      <c r="H22" s="4">
        <v>175</v>
      </c>
    </row>
    <row r="23" spans="1:8" x14ac:dyDescent="0.2">
      <c r="A23" s="4">
        <v>3</v>
      </c>
      <c r="B23" s="250"/>
      <c r="C23" s="252"/>
      <c r="D23" s="252"/>
      <c r="E23" s="21" t="s">
        <v>162</v>
      </c>
      <c r="F23" s="3">
        <v>3727</v>
      </c>
      <c r="G23" s="4">
        <v>1</v>
      </c>
      <c r="H23" s="4">
        <v>75</v>
      </c>
    </row>
    <row r="24" spans="1:8" x14ac:dyDescent="0.2">
      <c r="A24" s="4">
        <v>4</v>
      </c>
      <c r="B24" s="251"/>
      <c r="C24" s="253"/>
      <c r="D24" s="253"/>
      <c r="E24" s="21" t="s">
        <v>163</v>
      </c>
      <c r="F24" s="3">
        <v>5680</v>
      </c>
      <c r="G24" s="4">
        <v>3</v>
      </c>
      <c r="H24" s="4">
        <v>89</v>
      </c>
    </row>
    <row r="25" spans="1:8" x14ac:dyDescent="0.2">
      <c r="A25" s="4"/>
      <c r="B25" s="28"/>
      <c r="C25" s="120"/>
      <c r="D25" s="120"/>
      <c r="E25" s="121" t="s">
        <v>164</v>
      </c>
      <c r="F25" s="119">
        <f>SUM(F20:F24)</f>
        <v>25455</v>
      </c>
      <c r="G25" s="122">
        <f>SUM(G20:G24)</f>
        <v>8</v>
      </c>
      <c r="H25" s="122">
        <f>SUM(H20:H24)</f>
        <v>432</v>
      </c>
    </row>
    <row r="26" spans="1:8" x14ac:dyDescent="0.2">
      <c r="A26" s="4"/>
      <c r="B26" s="4"/>
      <c r="C26" s="238" t="s">
        <v>26</v>
      </c>
      <c r="D26" s="239"/>
      <c r="E26" s="240"/>
      <c r="F26" s="123">
        <f>F18+F11+F25</f>
        <v>62042</v>
      </c>
      <c r="G26" s="123" t="s">
        <v>165</v>
      </c>
      <c r="H26" s="123">
        <f>H25+H18+H11</f>
        <v>1330</v>
      </c>
    </row>
    <row r="29" spans="1:8" ht="34.5" customHeight="1" x14ac:dyDescent="0.2">
      <c r="E29" s="206" t="s">
        <v>396</v>
      </c>
      <c r="F29" s="205"/>
      <c r="G29" s="205"/>
      <c r="H29" s="205"/>
    </row>
    <row r="31" spans="1:8" ht="35.25" customHeight="1" x14ac:dyDescent="0.2">
      <c r="E31" s="236"/>
      <c r="F31" s="237"/>
      <c r="G31" s="237"/>
      <c r="H31" s="237"/>
    </row>
  </sheetData>
  <mergeCells count="20">
    <mergeCell ref="B14:B18"/>
    <mergeCell ref="B12:H12"/>
    <mergeCell ref="C14:C16"/>
    <mergeCell ref="F13:H13"/>
    <mergeCell ref="A1:H1"/>
    <mergeCell ref="E31:H31"/>
    <mergeCell ref="E29:H29"/>
    <mergeCell ref="C26:E26"/>
    <mergeCell ref="B6:B11"/>
    <mergeCell ref="C6:C11"/>
    <mergeCell ref="D6:D7"/>
    <mergeCell ref="D8:D10"/>
    <mergeCell ref="B19:H19"/>
    <mergeCell ref="F20:H20"/>
    <mergeCell ref="B21:B24"/>
    <mergeCell ref="C21:C24"/>
    <mergeCell ref="D21:D24"/>
    <mergeCell ref="A2:H2"/>
    <mergeCell ref="A3:H3"/>
    <mergeCell ref="F4:H4"/>
  </mergeCells>
  <pageMargins left="1.07" right="0.7" top="0.75" bottom="0.75" header="0.3" footer="0.3"/>
  <pageSetup paperSize="9" scale="95"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8"/>
  <sheetViews>
    <sheetView view="pageBreakPreview" zoomScale="80" zoomScaleSheetLayoutView="80" workbookViewId="0">
      <selection activeCell="A3" sqref="A3:T3"/>
    </sheetView>
  </sheetViews>
  <sheetFormatPr defaultColWidth="9.14453125" defaultRowHeight="15" x14ac:dyDescent="0.2"/>
  <cols>
    <col min="1" max="1" width="12.23828125" style="127" customWidth="1"/>
    <col min="2" max="2" width="16.54296875" style="127" customWidth="1"/>
    <col min="3" max="3" width="16.140625" style="127" customWidth="1"/>
    <col min="4" max="4" width="27.3046875" style="182" bestFit="1" customWidth="1"/>
    <col min="5" max="5" width="8.47265625" style="181" bestFit="1" customWidth="1"/>
    <col min="6" max="6" width="4.5703125" style="183" bestFit="1" customWidth="1"/>
    <col min="7" max="7" width="6.72265625" style="181" customWidth="1"/>
    <col min="8" max="8" width="8.47265625" style="181" bestFit="1" customWidth="1"/>
    <col min="9" max="9" width="9.55078125" style="183" customWidth="1"/>
    <col min="10" max="10" width="7.12890625" style="181" customWidth="1"/>
    <col min="11" max="11" width="45.46875" style="189" customWidth="1"/>
    <col min="12" max="12" width="5.6484375" style="177" hidden="1" customWidth="1"/>
    <col min="13" max="13" width="6.45703125" style="177" hidden="1" customWidth="1"/>
    <col min="14" max="14" width="6.3203125" style="177" hidden="1" customWidth="1"/>
    <col min="15" max="15" width="8.7421875" style="177" hidden="1" customWidth="1"/>
    <col min="16" max="16" width="6.45703125" style="177" hidden="1" customWidth="1"/>
    <col min="17" max="17" width="6.3203125" style="177" hidden="1" customWidth="1"/>
    <col min="18" max="18" width="10.625" style="177" hidden="1" customWidth="1"/>
    <col min="19" max="19" width="6.45703125" style="177" hidden="1" customWidth="1"/>
    <col min="20" max="20" width="6.9921875" style="177" hidden="1" customWidth="1"/>
    <col min="21" max="16384" width="9.14453125" style="127"/>
  </cols>
  <sheetData>
    <row r="1" spans="1:20" ht="19.5" x14ac:dyDescent="0.2">
      <c r="E1" s="198" t="s">
        <v>392</v>
      </c>
    </row>
    <row r="2" spans="1:20" ht="15.75" customHeight="1" x14ac:dyDescent="0.2">
      <c r="A2" s="288" t="s">
        <v>191</v>
      </c>
      <c r="B2" s="289"/>
      <c r="C2" s="289"/>
      <c r="D2" s="289"/>
      <c r="E2" s="289"/>
      <c r="F2" s="289"/>
      <c r="G2" s="289"/>
      <c r="H2" s="289"/>
      <c r="I2" s="289"/>
      <c r="J2" s="289"/>
      <c r="K2" s="289"/>
      <c r="L2" s="289"/>
      <c r="M2" s="289"/>
      <c r="N2" s="289"/>
      <c r="O2" s="289"/>
      <c r="P2" s="289"/>
      <c r="Q2" s="289"/>
      <c r="R2" s="289"/>
      <c r="S2" s="289"/>
      <c r="T2" s="290"/>
    </row>
    <row r="3" spans="1:20" x14ac:dyDescent="0.2">
      <c r="A3" s="291" t="s">
        <v>215</v>
      </c>
      <c r="B3" s="292"/>
      <c r="C3" s="292"/>
      <c r="D3" s="292"/>
      <c r="E3" s="292"/>
      <c r="F3" s="292"/>
      <c r="G3" s="292"/>
      <c r="H3" s="292"/>
      <c r="I3" s="292"/>
      <c r="J3" s="292"/>
      <c r="K3" s="292"/>
      <c r="L3" s="292"/>
      <c r="M3" s="292"/>
      <c r="N3" s="292"/>
      <c r="O3" s="292"/>
      <c r="P3" s="292"/>
      <c r="Q3" s="292"/>
      <c r="R3" s="292"/>
      <c r="S3" s="292"/>
      <c r="T3" s="293"/>
    </row>
    <row r="4" spans="1:20" ht="15.75" x14ac:dyDescent="0.2">
      <c r="A4" s="294" t="s">
        <v>30</v>
      </c>
      <c r="B4" s="294" t="s">
        <v>19</v>
      </c>
      <c r="C4" s="294" t="s">
        <v>31</v>
      </c>
      <c r="D4" s="296" t="s">
        <v>21</v>
      </c>
      <c r="E4" s="297" t="s">
        <v>32</v>
      </c>
      <c r="F4" s="297"/>
      <c r="G4" s="297"/>
      <c r="H4" s="297" t="s">
        <v>33</v>
      </c>
      <c r="I4" s="297"/>
      <c r="J4" s="297"/>
      <c r="K4" s="184" t="s">
        <v>34</v>
      </c>
      <c r="L4" s="298" t="s">
        <v>174</v>
      </c>
      <c r="M4" s="298"/>
      <c r="N4" s="298"/>
      <c r="O4" s="298" t="s">
        <v>175</v>
      </c>
      <c r="P4" s="298"/>
      <c r="Q4" s="298"/>
      <c r="R4" s="298" t="s">
        <v>176</v>
      </c>
      <c r="S4" s="298"/>
      <c r="T4" s="298"/>
    </row>
    <row r="5" spans="1:20" ht="15.75" x14ac:dyDescent="0.2">
      <c r="A5" s="295"/>
      <c r="B5" s="295"/>
      <c r="C5" s="295"/>
      <c r="D5" s="296"/>
      <c r="E5" s="129" t="s">
        <v>23</v>
      </c>
      <c r="F5" s="78" t="s">
        <v>24</v>
      </c>
      <c r="G5" s="129" t="s">
        <v>25</v>
      </c>
      <c r="H5" s="129" t="s">
        <v>23</v>
      </c>
      <c r="I5" s="78" t="s">
        <v>24</v>
      </c>
      <c r="J5" s="129" t="s">
        <v>25</v>
      </c>
      <c r="K5" s="185"/>
      <c r="L5" s="78" t="s">
        <v>23</v>
      </c>
      <c r="M5" s="78" t="s">
        <v>24</v>
      </c>
      <c r="N5" s="78" t="s">
        <v>25</v>
      </c>
      <c r="O5" s="78" t="s">
        <v>23</v>
      </c>
      <c r="P5" s="78" t="s">
        <v>24</v>
      </c>
      <c r="Q5" s="78" t="s">
        <v>25</v>
      </c>
      <c r="R5" s="78" t="s">
        <v>23</v>
      </c>
      <c r="S5" s="78" t="s">
        <v>24</v>
      </c>
      <c r="T5" s="78" t="s">
        <v>25</v>
      </c>
    </row>
    <row r="6" spans="1:20" ht="15.75" x14ac:dyDescent="0.2">
      <c r="A6" s="274" t="s">
        <v>128</v>
      </c>
      <c r="B6" s="280" t="s">
        <v>129</v>
      </c>
      <c r="C6" s="282" t="s">
        <v>46</v>
      </c>
      <c r="D6" s="132"/>
      <c r="E6" s="133">
        <v>16558</v>
      </c>
      <c r="F6" s="133">
        <v>2</v>
      </c>
      <c r="G6" s="134">
        <v>154</v>
      </c>
      <c r="H6" s="133">
        <f>E6-(L6+O6+R6)</f>
        <v>16558</v>
      </c>
      <c r="I6" s="133">
        <f t="shared" ref="I6:J23" si="0">F6-(M6+P6+S6)</f>
        <v>2</v>
      </c>
      <c r="J6" s="133">
        <f t="shared" si="0"/>
        <v>154</v>
      </c>
      <c r="K6" s="186"/>
      <c r="L6" s="78"/>
      <c r="M6" s="9"/>
      <c r="N6" s="9"/>
      <c r="O6" s="78"/>
      <c r="P6" s="9"/>
      <c r="Q6" s="9"/>
      <c r="R6" s="78"/>
      <c r="S6" s="9"/>
      <c r="T6" s="9"/>
    </row>
    <row r="7" spans="1:20" ht="15.75" x14ac:dyDescent="0.2">
      <c r="A7" s="267"/>
      <c r="B7" s="281"/>
      <c r="C7" s="283"/>
      <c r="D7" s="132" t="s">
        <v>48</v>
      </c>
      <c r="E7" s="133">
        <v>15224</v>
      </c>
      <c r="F7" s="133">
        <v>5</v>
      </c>
      <c r="G7" s="134">
        <v>164</v>
      </c>
      <c r="H7" s="133">
        <f t="shared" ref="H7:J80" si="1">E7-(L7+O7+R7)</f>
        <v>15224</v>
      </c>
      <c r="I7" s="133">
        <f t="shared" si="0"/>
        <v>5</v>
      </c>
      <c r="J7" s="133">
        <f t="shared" si="0"/>
        <v>164</v>
      </c>
      <c r="K7" s="186"/>
      <c r="L7" s="78"/>
      <c r="M7" s="9"/>
      <c r="N7" s="9"/>
      <c r="O7" s="78"/>
      <c r="P7" s="9"/>
      <c r="Q7" s="9"/>
      <c r="R7" s="78"/>
      <c r="S7" s="9"/>
      <c r="T7" s="9"/>
    </row>
    <row r="8" spans="1:20" ht="27.75" x14ac:dyDescent="0.2">
      <c r="A8" s="267"/>
      <c r="B8" s="281"/>
      <c r="C8" s="283"/>
      <c r="D8" s="132" t="s">
        <v>49</v>
      </c>
      <c r="E8" s="133">
        <v>9466</v>
      </c>
      <c r="F8" s="135">
        <v>6</v>
      </c>
      <c r="G8" s="134">
        <v>72</v>
      </c>
      <c r="H8" s="133">
        <f t="shared" si="1"/>
        <v>9466</v>
      </c>
      <c r="I8" s="133">
        <f t="shared" si="0"/>
        <v>6</v>
      </c>
      <c r="J8" s="133">
        <f t="shared" si="0"/>
        <v>72</v>
      </c>
      <c r="K8" s="187" t="s">
        <v>311</v>
      </c>
      <c r="L8" s="78"/>
      <c r="M8" s="8"/>
      <c r="N8" s="9"/>
      <c r="O8" s="78"/>
      <c r="P8" s="8"/>
      <c r="Q8" s="9"/>
      <c r="R8" s="78"/>
      <c r="S8" s="8"/>
      <c r="T8" s="9"/>
    </row>
    <row r="9" spans="1:20" ht="81" x14ac:dyDescent="0.2">
      <c r="A9" s="267"/>
      <c r="B9" s="281"/>
      <c r="C9" s="283"/>
      <c r="D9" s="132" t="s">
        <v>50</v>
      </c>
      <c r="E9" s="133">
        <v>7109</v>
      </c>
      <c r="F9" s="135">
        <v>7</v>
      </c>
      <c r="G9" s="134">
        <v>90</v>
      </c>
      <c r="H9" s="133">
        <v>0</v>
      </c>
      <c r="I9" s="133">
        <v>0</v>
      </c>
      <c r="J9" s="133">
        <v>0</v>
      </c>
      <c r="K9" s="187" t="s">
        <v>343</v>
      </c>
      <c r="L9" s="78"/>
      <c r="M9" s="8"/>
      <c r="N9" s="9"/>
      <c r="O9" s="78"/>
      <c r="P9" s="8"/>
      <c r="Q9" s="9"/>
      <c r="R9" s="78"/>
      <c r="S9" s="8"/>
      <c r="T9" s="9"/>
    </row>
    <row r="10" spans="1:20" ht="27.75" x14ac:dyDescent="0.2">
      <c r="A10" s="267"/>
      <c r="B10" s="281"/>
      <c r="C10" s="283"/>
      <c r="D10" s="132" t="s">
        <v>51</v>
      </c>
      <c r="E10" s="133">
        <v>937</v>
      </c>
      <c r="F10" s="135">
        <v>0</v>
      </c>
      <c r="G10" s="134">
        <v>27</v>
      </c>
      <c r="H10" s="133">
        <v>0</v>
      </c>
      <c r="I10" s="133">
        <f t="shared" si="0"/>
        <v>0</v>
      </c>
      <c r="J10" s="133">
        <v>0</v>
      </c>
      <c r="K10" s="187" t="s">
        <v>322</v>
      </c>
      <c r="L10" s="78"/>
      <c r="M10" s="8"/>
      <c r="N10" s="9"/>
      <c r="O10" s="78"/>
      <c r="P10" s="8"/>
      <c r="Q10" s="9"/>
      <c r="R10" s="78"/>
      <c r="S10" s="8"/>
      <c r="T10" s="9"/>
    </row>
    <row r="11" spans="1:20" ht="68.25" x14ac:dyDescent="0.2">
      <c r="A11" s="267"/>
      <c r="B11" s="281"/>
      <c r="C11" s="283"/>
      <c r="D11" s="132" t="s">
        <v>267</v>
      </c>
      <c r="E11" s="133">
        <v>0</v>
      </c>
      <c r="F11" s="135">
        <v>0</v>
      </c>
      <c r="G11" s="134">
        <v>0</v>
      </c>
      <c r="H11" s="133">
        <v>9249</v>
      </c>
      <c r="I11" s="133">
        <v>10</v>
      </c>
      <c r="J11" s="133">
        <v>155</v>
      </c>
      <c r="K11" s="187" t="s">
        <v>319</v>
      </c>
      <c r="L11" s="78"/>
      <c r="M11" s="8"/>
      <c r="N11" s="9"/>
      <c r="O11" s="78"/>
      <c r="P11" s="8"/>
      <c r="Q11" s="9"/>
      <c r="R11" s="78"/>
      <c r="S11" s="8"/>
      <c r="T11" s="9"/>
    </row>
    <row r="12" spans="1:20" ht="15.75" x14ac:dyDescent="0.2">
      <c r="A12" s="267"/>
      <c r="B12" s="281"/>
      <c r="C12" s="284"/>
      <c r="D12" s="137" t="s">
        <v>52</v>
      </c>
      <c r="E12" s="136">
        <f>SUM(E6:E11)</f>
        <v>49294</v>
      </c>
      <c r="F12" s="136">
        <f>SUM(F6:F11)</f>
        <v>20</v>
      </c>
      <c r="G12" s="136">
        <f>SUM(G6:G11)</f>
        <v>507</v>
      </c>
      <c r="H12" s="136">
        <f>SUM(H6:H11)</f>
        <v>50497</v>
      </c>
      <c r="I12" s="136">
        <f t="shared" ref="I12:J12" si="2">SUM(I6:I11)</f>
        <v>23</v>
      </c>
      <c r="J12" s="136">
        <f t="shared" si="2"/>
        <v>545</v>
      </c>
      <c r="K12" s="187"/>
      <c r="L12" s="78"/>
      <c r="M12" s="8"/>
      <c r="N12" s="9"/>
      <c r="O12" s="78"/>
      <c r="P12" s="8"/>
      <c r="Q12" s="9"/>
      <c r="R12" s="78"/>
      <c r="S12" s="8"/>
      <c r="T12" s="9"/>
    </row>
    <row r="13" spans="1:20" ht="15.75" x14ac:dyDescent="0.2">
      <c r="A13" s="267"/>
      <c r="B13" s="281"/>
      <c r="C13" s="285" t="s">
        <v>53</v>
      </c>
      <c r="D13" s="132" t="s">
        <v>54</v>
      </c>
      <c r="E13" s="133">
        <v>16281</v>
      </c>
      <c r="F13" s="135">
        <v>7</v>
      </c>
      <c r="G13" s="134">
        <v>188</v>
      </c>
      <c r="H13" s="133">
        <f t="shared" si="1"/>
        <v>16281</v>
      </c>
      <c r="I13" s="133">
        <f t="shared" si="0"/>
        <v>7</v>
      </c>
      <c r="J13" s="133">
        <f t="shared" si="0"/>
        <v>188</v>
      </c>
      <c r="K13" s="187"/>
      <c r="L13" s="78"/>
      <c r="M13" s="8"/>
      <c r="N13" s="9"/>
      <c r="O13" s="78"/>
      <c r="P13" s="8"/>
      <c r="Q13" s="9"/>
      <c r="R13" s="78"/>
      <c r="S13" s="8"/>
      <c r="T13" s="9"/>
    </row>
    <row r="14" spans="1:20" ht="15.75" x14ac:dyDescent="0.2">
      <c r="A14" s="267"/>
      <c r="B14" s="281"/>
      <c r="C14" s="286"/>
      <c r="D14" s="132" t="s">
        <v>55</v>
      </c>
      <c r="E14" s="133">
        <v>18781</v>
      </c>
      <c r="F14" s="135">
        <v>7</v>
      </c>
      <c r="G14" s="134">
        <v>205</v>
      </c>
      <c r="H14" s="133">
        <f t="shared" si="1"/>
        <v>18781</v>
      </c>
      <c r="I14" s="133">
        <f t="shared" si="0"/>
        <v>7</v>
      </c>
      <c r="J14" s="133">
        <f t="shared" si="0"/>
        <v>205</v>
      </c>
      <c r="K14" s="187"/>
      <c r="L14" s="78"/>
      <c r="M14" s="8"/>
      <c r="N14" s="9"/>
      <c r="O14" s="78"/>
      <c r="P14" s="8"/>
      <c r="Q14" s="9"/>
      <c r="R14" s="78"/>
      <c r="S14" s="8"/>
      <c r="T14" s="9"/>
    </row>
    <row r="15" spans="1:20" ht="27.75" x14ac:dyDescent="0.2">
      <c r="A15" s="267"/>
      <c r="B15" s="281"/>
      <c r="C15" s="286"/>
      <c r="D15" s="132" t="s">
        <v>56</v>
      </c>
      <c r="E15" s="133">
        <v>3373</v>
      </c>
      <c r="F15" s="135">
        <v>11</v>
      </c>
      <c r="G15" s="134">
        <v>75</v>
      </c>
      <c r="H15" s="133">
        <f>E15-(L15+O15+R15)+1600</f>
        <v>4973</v>
      </c>
      <c r="I15" s="133">
        <v>11</v>
      </c>
      <c r="J15" s="133">
        <f>75+52</f>
        <v>127</v>
      </c>
      <c r="K15" s="187" t="s">
        <v>282</v>
      </c>
      <c r="L15" s="78"/>
      <c r="M15" s="8"/>
      <c r="N15" s="9"/>
      <c r="O15" s="78"/>
      <c r="P15" s="8"/>
      <c r="Q15" s="9"/>
      <c r="R15" s="78"/>
      <c r="S15" s="8"/>
      <c r="T15" s="9"/>
    </row>
    <row r="16" spans="1:20" ht="84.75" customHeight="1" x14ac:dyDescent="0.2">
      <c r="A16" s="267"/>
      <c r="B16" s="281"/>
      <c r="C16" s="286"/>
      <c r="D16" s="132" t="s">
        <v>61</v>
      </c>
      <c r="E16" s="133">
        <v>0</v>
      </c>
      <c r="F16" s="135">
        <v>0</v>
      </c>
      <c r="G16" s="134">
        <v>0</v>
      </c>
      <c r="H16" s="133">
        <f>5996+1533</f>
        <v>7529</v>
      </c>
      <c r="I16" s="133">
        <v>21</v>
      </c>
      <c r="J16" s="133">
        <f>81+30</f>
        <v>111</v>
      </c>
      <c r="K16" s="187" t="s">
        <v>283</v>
      </c>
      <c r="L16" s="78"/>
      <c r="M16" s="8"/>
      <c r="N16" s="9"/>
      <c r="O16" s="78"/>
      <c r="P16" s="8"/>
      <c r="Q16" s="9"/>
      <c r="R16" s="78"/>
      <c r="S16" s="8"/>
      <c r="T16" s="9"/>
    </row>
    <row r="17" spans="1:20" ht="41.25" x14ac:dyDescent="0.2">
      <c r="A17" s="267"/>
      <c r="B17" s="281"/>
      <c r="C17" s="286"/>
      <c r="D17" s="132" t="s">
        <v>57</v>
      </c>
      <c r="E17" s="133">
        <v>3133</v>
      </c>
      <c r="F17" s="135">
        <v>1</v>
      </c>
      <c r="G17" s="134">
        <v>82</v>
      </c>
      <c r="H17" s="133">
        <v>0</v>
      </c>
      <c r="I17" s="133">
        <v>0</v>
      </c>
      <c r="J17" s="133">
        <v>0</v>
      </c>
      <c r="K17" s="187" t="s">
        <v>287</v>
      </c>
      <c r="L17" s="78"/>
      <c r="M17" s="8"/>
      <c r="N17" s="9"/>
      <c r="O17" s="78"/>
      <c r="P17" s="8"/>
      <c r="Q17" s="9"/>
      <c r="R17" s="78"/>
      <c r="S17" s="8"/>
      <c r="T17" s="9"/>
    </row>
    <row r="18" spans="1:20" ht="15.75" x14ac:dyDescent="0.2">
      <c r="A18" s="267"/>
      <c r="B18" s="281"/>
      <c r="C18" s="287"/>
      <c r="D18" s="137" t="s">
        <v>52</v>
      </c>
      <c r="E18" s="136">
        <f>SUM(E13:E17)</f>
        <v>41568</v>
      </c>
      <c r="F18" s="136">
        <f>SUM(F13:F17)</f>
        <v>26</v>
      </c>
      <c r="G18" s="136">
        <f>SUM(G13:G17)</f>
        <v>550</v>
      </c>
      <c r="H18" s="136">
        <f>SUM(H13:H17)</f>
        <v>47564</v>
      </c>
      <c r="I18" s="136">
        <f t="shared" ref="I18:J18" si="3">SUM(I13:I17)</f>
        <v>46</v>
      </c>
      <c r="J18" s="136">
        <f t="shared" si="3"/>
        <v>631</v>
      </c>
      <c r="K18" s="187"/>
      <c r="L18" s="78"/>
      <c r="M18" s="78"/>
      <c r="N18" s="78"/>
      <c r="O18" s="78"/>
      <c r="P18" s="78"/>
      <c r="Q18" s="78"/>
      <c r="R18" s="78"/>
      <c r="S18" s="78"/>
      <c r="T18" s="78"/>
    </row>
    <row r="19" spans="1:20" ht="41.25" x14ac:dyDescent="0.2">
      <c r="A19" s="267"/>
      <c r="B19" s="281"/>
      <c r="C19" s="263" t="s">
        <v>58</v>
      </c>
      <c r="D19" s="132" t="s">
        <v>59</v>
      </c>
      <c r="E19" s="138">
        <v>6534</v>
      </c>
      <c r="F19" s="139">
        <v>8</v>
      </c>
      <c r="G19" s="134">
        <v>107</v>
      </c>
      <c r="H19" s="133">
        <f>E19+E22</f>
        <v>8889</v>
      </c>
      <c r="I19" s="133">
        <f>F19+F22</f>
        <v>14</v>
      </c>
      <c r="J19" s="133">
        <f>G19-(N19+Q19+T19)+82</f>
        <v>189</v>
      </c>
      <c r="K19" s="187" t="s">
        <v>284</v>
      </c>
      <c r="L19" s="140"/>
      <c r="M19" s="140"/>
      <c r="N19" s="140"/>
      <c r="O19" s="140"/>
      <c r="P19" s="140"/>
      <c r="Q19" s="140"/>
      <c r="R19" s="140"/>
      <c r="S19" s="140"/>
      <c r="T19" s="140"/>
    </row>
    <row r="20" spans="1:20" ht="41.25" x14ac:dyDescent="0.2">
      <c r="A20" s="267"/>
      <c r="B20" s="281"/>
      <c r="C20" s="264"/>
      <c r="D20" s="132" t="s">
        <v>60</v>
      </c>
      <c r="E20" s="138">
        <v>9249</v>
      </c>
      <c r="F20" s="139">
        <v>10</v>
      </c>
      <c r="G20" s="134">
        <v>155</v>
      </c>
      <c r="H20" s="133">
        <v>0</v>
      </c>
      <c r="I20" s="133">
        <v>0</v>
      </c>
      <c r="J20" s="133">
        <v>0</v>
      </c>
      <c r="K20" s="187" t="s">
        <v>285</v>
      </c>
      <c r="L20" s="140"/>
      <c r="M20" s="140"/>
      <c r="N20" s="140"/>
      <c r="O20" s="140"/>
      <c r="P20" s="140"/>
      <c r="Q20" s="140"/>
      <c r="R20" s="140"/>
      <c r="S20" s="140"/>
      <c r="T20" s="140"/>
    </row>
    <row r="21" spans="1:20" ht="27.75" x14ac:dyDescent="0.2">
      <c r="A21" s="267"/>
      <c r="B21" s="281"/>
      <c r="C21" s="264"/>
      <c r="D21" s="132" t="s">
        <v>61</v>
      </c>
      <c r="E21" s="138">
        <v>5996</v>
      </c>
      <c r="F21" s="139">
        <v>20</v>
      </c>
      <c r="G21" s="134">
        <v>81</v>
      </c>
      <c r="H21" s="133">
        <v>0</v>
      </c>
      <c r="I21" s="133">
        <v>0</v>
      </c>
      <c r="J21" s="133">
        <v>0</v>
      </c>
      <c r="K21" s="187" t="s">
        <v>286</v>
      </c>
      <c r="L21" s="140"/>
      <c r="M21" s="140"/>
      <c r="N21" s="140"/>
      <c r="O21" s="140"/>
      <c r="P21" s="140"/>
      <c r="Q21" s="140"/>
      <c r="R21" s="140"/>
      <c r="S21" s="140"/>
      <c r="T21" s="140"/>
    </row>
    <row r="22" spans="1:20" ht="41.25" x14ac:dyDescent="0.2">
      <c r="A22" s="267"/>
      <c r="B22" s="281"/>
      <c r="C22" s="264"/>
      <c r="D22" s="132" t="s">
        <v>62</v>
      </c>
      <c r="E22" s="138">
        <v>2355</v>
      </c>
      <c r="F22" s="139">
        <v>6</v>
      </c>
      <c r="G22" s="134">
        <v>82</v>
      </c>
      <c r="H22" s="133">
        <v>0</v>
      </c>
      <c r="I22" s="133">
        <v>0</v>
      </c>
      <c r="J22" s="133">
        <v>0</v>
      </c>
      <c r="K22" s="187" t="s">
        <v>289</v>
      </c>
      <c r="L22" s="140"/>
      <c r="M22" s="140"/>
      <c r="N22" s="140"/>
      <c r="O22" s="140"/>
      <c r="P22" s="140"/>
      <c r="Q22" s="140"/>
      <c r="R22" s="140"/>
      <c r="S22" s="140"/>
      <c r="T22" s="140"/>
    </row>
    <row r="23" spans="1:20" ht="15.75" x14ac:dyDescent="0.2">
      <c r="A23" s="267"/>
      <c r="B23" s="281"/>
      <c r="C23" s="264"/>
      <c r="D23" s="141" t="s">
        <v>63</v>
      </c>
      <c r="E23" s="139">
        <v>3614</v>
      </c>
      <c r="F23" s="139">
        <v>22</v>
      </c>
      <c r="G23" s="142">
        <v>118</v>
      </c>
      <c r="H23" s="133">
        <f t="shared" si="1"/>
        <v>3614</v>
      </c>
      <c r="I23" s="133">
        <f t="shared" si="0"/>
        <v>22</v>
      </c>
      <c r="J23" s="133">
        <f t="shared" si="0"/>
        <v>118</v>
      </c>
      <c r="K23" s="187"/>
      <c r="L23" s="140"/>
      <c r="M23" s="140"/>
      <c r="N23" s="140"/>
      <c r="O23" s="140"/>
      <c r="P23" s="140"/>
      <c r="Q23" s="140"/>
      <c r="R23" s="140"/>
      <c r="S23" s="140"/>
      <c r="T23" s="140"/>
    </row>
    <row r="24" spans="1:20" ht="15.75" x14ac:dyDescent="0.2">
      <c r="A24" s="267"/>
      <c r="B24" s="281"/>
      <c r="C24" s="264"/>
      <c r="D24" s="141" t="s">
        <v>64</v>
      </c>
      <c r="E24" s="139">
        <v>4931</v>
      </c>
      <c r="F24" s="139">
        <v>13</v>
      </c>
      <c r="G24" s="142">
        <v>138</v>
      </c>
      <c r="H24" s="133">
        <f t="shared" si="1"/>
        <v>4931</v>
      </c>
      <c r="I24" s="133">
        <f t="shared" si="1"/>
        <v>13</v>
      </c>
      <c r="J24" s="133">
        <f t="shared" si="1"/>
        <v>138</v>
      </c>
      <c r="K24" s="187"/>
      <c r="L24" s="140"/>
      <c r="M24" s="140"/>
      <c r="N24" s="140"/>
      <c r="O24" s="140"/>
      <c r="P24" s="140"/>
      <c r="Q24" s="140"/>
      <c r="R24" s="140"/>
      <c r="S24" s="140"/>
      <c r="T24" s="140"/>
    </row>
    <row r="25" spans="1:20" ht="27.75" x14ac:dyDescent="0.2">
      <c r="A25" s="267"/>
      <c r="B25" s="281"/>
      <c r="C25" s="264"/>
      <c r="D25" s="132" t="s">
        <v>65</v>
      </c>
      <c r="E25" s="138">
        <v>10871</v>
      </c>
      <c r="F25" s="139">
        <v>9</v>
      </c>
      <c r="G25" s="134">
        <v>157</v>
      </c>
      <c r="H25" s="133">
        <f t="shared" si="1"/>
        <v>10871</v>
      </c>
      <c r="I25" s="133">
        <f t="shared" si="1"/>
        <v>9</v>
      </c>
      <c r="J25" s="133">
        <f t="shared" si="1"/>
        <v>157</v>
      </c>
      <c r="K25" s="187" t="s">
        <v>313</v>
      </c>
      <c r="L25" s="140"/>
      <c r="M25" s="140"/>
      <c r="N25" s="140"/>
      <c r="O25" s="140"/>
      <c r="P25" s="140"/>
      <c r="Q25" s="140"/>
      <c r="R25" s="140"/>
      <c r="S25" s="140"/>
      <c r="T25" s="140"/>
    </row>
    <row r="26" spans="1:20" ht="27.75" x14ac:dyDescent="0.2">
      <c r="A26" s="267"/>
      <c r="B26" s="281"/>
      <c r="C26" s="264"/>
      <c r="D26" s="132" t="s">
        <v>219</v>
      </c>
      <c r="E26" s="138">
        <v>0</v>
      </c>
      <c r="F26" s="139">
        <v>0</v>
      </c>
      <c r="G26" s="134">
        <v>0</v>
      </c>
      <c r="H26" s="133">
        <v>7285</v>
      </c>
      <c r="I26" s="133">
        <v>1</v>
      </c>
      <c r="J26" s="133">
        <v>178</v>
      </c>
      <c r="K26" s="187" t="s">
        <v>288</v>
      </c>
      <c r="L26" s="140"/>
      <c r="M26" s="140"/>
      <c r="N26" s="140"/>
      <c r="O26" s="140"/>
      <c r="P26" s="140"/>
      <c r="Q26" s="140"/>
      <c r="R26" s="140"/>
      <c r="S26" s="140"/>
      <c r="T26" s="140"/>
    </row>
    <row r="27" spans="1:20" ht="15.75" x14ac:dyDescent="0.2">
      <c r="A27" s="267"/>
      <c r="B27" s="281"/>
      <c r="C27" s="275"/>
      <c r="D27" s="137" t="s">
        <v>52</v>
      </c>
      <c r="E27" s="143">
        <f t="shared" ref="E27:J27" si="4">SUM(E19:E26)</f>
        <v>43550</v>
      </c>
      <c r="F27" s="144">
        <f t="shared" si="4"/>
        <v>88</v>
      </c>
      <c r="G27" s="143">
        <f t="shared" si="4"/>
        <v>838</v>
      </c>
      <c r="H27" s="136">
        <f t="shared" si="4"/>
        <v>35590</v>
      </c>
      <c r="I27" s="136">
        <f t="shared" si="4"/>
        <v>59</v>
      </c>
      <c r="J27" s="136">
        <f t="shared" si="4"/>
        <v>780</v>
      </c>
      <c r="K27" s="187"/>
      <c r="L27" s="140"/>
      <c r="M27" s="140"/>
      <c r="N27" s="140"/>
      <c r="O27" s="140"/>
      <c r="P27" s="140"/>
      <c r="Q27" s="140"/>
      <c r="R27" s="140"/>
      <c r="S27" s="140"/>
      <c r="T27" s="140"/>
    </row>
    <row r="28" spans="1:20" ht="27.75" x14ac:dyDescent="0.2">
      <c r="A28" s="145"/>
      <c r="B28" s="146"/>
      <c r="C28" s="263" t="s">
        <v>221</v>
      </c>
      <c r="D28" s="132" t="s">
        <v>66</v>
      </c>
      <c r="E28" s="138">
        <v>15030</v>
      </c>
      <c r="F28" s="139">
        <v>8</v>
      </c>
      <c r="G28" s="134">
        <v>196</v>
      </c>
      <c r="H28" s="133">
        <v>15030</v>
      </c>
      <c r="I28" s="133">
        <v>8</v>
      </c>
      <c r="J28" s="133">
        <v>196</v>
      </c>
      <c r="K28" s="187" t="s">
        <v>312</v>
      </c>
      <c r="L28" s="140"/>
      <c r="M28" s="140"/>
      <c r="N28" s="140"/>
      <c r="O28" s="140"/>
      <c r="P28" s="140"/>
      <c r="Q28" s="140"/>
      <c r="R28" s="140"/>
      <c r="S28" s="140"/>
      <c r="T28" s="140"/>
    </row>
    <row r="29" spans="1:20" ht="54.75" x14ac:dyDescent="0.2">
      <c r="A29" s="145"/>
      <c r="B29" s="146"/>
      <c r="C29" s="264"/>
      <c r="D29" s="132" t="s">
        <v>69</v>
      </c>
      <c r="E29" s="138">
        <v>10543</v>
      </c>
      <c r="F29" s="139">
        <v>2</v>
      </c>
      <c r="G29" s="134">
        <v>81</v>
      </c>
      <c r="H29" s="133">
        <v>0</v>
      </c>
      <c r="I29" s="133">
        <v>0</v>
      </c>
      <c r="J29" s="133">
        <v>0</v>
      </c>
      <c r="K29" s="187" t="s">
        <v>331</v>
      </c>
      <c r="L29" s="140"/>
      <c r="M29" s="140"/>
      <c r="N29" s="140"/>
      <c r="O29" s="140"/>
      <c r="P29" s="140"/>
      <c r="Q29" s="140"/>
      <c r="R29" s="140"/>
      <c r="S29" s="140"/>
      <c r="T29" s="140"/>
    </row>
    <row r="30" spans="1:20" ht="68.25" x14ac:dyDescent="0.2">
      <c r="A30" s="145"/>
      <c r="B30" s="146"/>
      <c r="C30" s="264"/>
      <c r="D30" s="132" t="s">
        <v>71</v>
      </c>
      <c r="E30" s="138">
        <v>14321</v>
      </c>
      <c r="F30" s="139">
        <v>4</v>
      </c>
      <c r="G30" s="134">
        <v>236</v>
      </c>
      <c r="H30" s="133">
        <v>0</v>
      </c>
      <c r="I30" s="133">
        <v>0</v>
      </c>
      <c r="J30" s="133">
        <v>0</v>
      </c>
      <c r="K30" s="187" t="s">
        <v>318</v>
      </c>
      <c r="L30" s="140"/>
      <c r="M30" s="140"/>
      <c r="N30" s="140"/>
      <c r="O30" s="140"/>
      <c r="P30" s="140"/>
      <c r="Q30" s="140"/>
      <c r="R30" s="140"/>
      <c r="S30" s="140"/>
      <c r="T30" s="140"/>
    </row>
    <row r="31" spans="1:20" ht="27.75" x14ac:dyDescent="0.2">
      <c r="A31" s="145"/>
      <c r="B31" s="146"/>
      <c r="C31" s="264"/>
      <c r="D31" s="132" t="s">
        <v>73</v>
      </c>
      <c r="E31" s="138">
        <v>6351</v>
      </c>
      <c r="F31" s="139">
        <v>0</v>
      </c>
      <c r="G31" s="134">
        <v>42</v>
      </c>
      <c r="H31" s="133">
        <v>0</v>
      </c>
      <c r="I31" s="133">
        <v>0</v>
      </c>
      <c r="J31" s="133">
        <v>0</v>
      </c>
      <c r="K31" s="187" t="s">
        <v>332</v>
      </c>
      <c r="L31" s="140"/>
      <c r="M31" s="140"/>
      <c r="N31" s="140"/>
      <c r="O31" s="140"/>
      <c r="P31" s="140"/>
      <c r="Q31" s="140"/>
      <c r="R31" s="140"/>
      <c r="S31" s="140"/>
      <c r="T31" s="140"/>
    </row>
    <row r="32" spans="1:20" ht="54.75" x14ac:dyDescent="0.2">
      <c r="A32" s="145"/>
      <c r="B32" s="146"/>
      <c r="C32" s="264"/>
      <c r="D32" s="132" t="s">
        <v>67</v>
      </c>
      <c r="E32" s="138">
        <v>4148</v>
      </c>
      <c r="F32" s="139">
        <v>6</v>
      </c>
      <c r="G32" s="134">
        <v>92</v>
      </c>
      <c r="H32" s="133">
        <v>6883</v>
      </c>
      <c r="I32" s="133">
        <v>6</v>
      </c>
      <c r="J32" s="133">
        <f>92+50</f>
        <v>142</v>
      </c>
      <c r="K32" s="187" t="s">
        <v>373</v>
      </c>
      <c r="L32" s="140"/>
      <c r="M32" s="140"/>
      <c r="N32" s="140"/>
      <c r="O32" s="140"/>
      <c r="P32" s="140"/>
      <c r="Q32" s="140"/>
      <c r="R32" s="140"/>
      <c r="S32" s="140"/>
      <c r="T32" s="140"/>
    </row>
    <row r="33" spans="1:20" ht="27.75" x14ac:dyDescent="0.2">
      <c r="A33" s="145"/>
      <c r="B33" s="276"/>
      <c r="C33" s="264"/>
      <c r="D33" s="132" t="s">
        <v>68</v>
      </c>
      <c r="E33" s="138">
        <v>7366</v>
      </c>
      <c r="F33" s="139">
        <v>1</v>
      </c>
      <c r="G33" s="134">
        <v>195</v>
      </c>
      <c r="H33" s="133">
        <v>4631</v>
      </c>
      <c r="I33" s="133">
        <v>1</v>
      </c>
      <c r="J33" s="133">
        <f>195-50</f>
        <v>145</v>
      </c>
      <c r="K33" s="187" t="s">
        <v>308</v>
      </c>
      <c r="L33" s="140"/>
      <c r="M33" s="140"/>
      <c r="N33" s="140"/>
      <c r="O33" s="140"/>
      <c r="P33" s="140"/>
      <c r="Q33" s="140"/>
      <c r="R33" s="140"/>
      <c r="S33" s="140"/>
      <c r="T33" s="140"/>
    </row>
    <row r="34" spans="1:20" ht="15.75" x14ac:dyDescent="0.2">
      <c r="A34" s="145"/>
      <c r="B34" s="276"/>
      <c r="C34" s="264"/>
      <c r="D34" s="132" t="s">
        <v>70</v>
      </c>
      <c r="E34" s="138">
        <v>6178</v>
      </c>
      <c r="F34" s="139">
        <v>1</v>
      </c>
      <c r="G34" s="134">
        <v>155</v>
      </c>
      <c r="H34" s="133">
        <v>6178</v>
      </c>
      <c r="I34" s="133">
        <v>1</v>
      </c>
      <c r="J34" s="133">
        <v>155</v>
      </c>
      <c r="K34" s="187"/>
      <c r="L34" s="140"/>
      <c r="M34" s="140"/>
      <c r="N34" s="140"/>
      <c r="O34" s="140"/>
      <c r="P34" s="140"/>
      <c r="Q34" s="140"/>
      <c r="R34" s="140"/>
      <c r="S34" s="140"/>
      <c r="T34" s="140"/>
    </row>
    <row r="35" spans="1:20" ht="15.75" x14ac:dyDescent="0.2">
      <c r="A35" s="145"/>
      <c r="B35" s="276"/>
      <c r="C35" s="264"/>
      <c r="D35" s="132" t="s">
        <v>72</v>
      </c>
      <c r="E35" s="138">
        <v>12826</v>
      </c>
      <c r="F35" s="139">
        <v>2</v>
      </c>
      <c r="G35" s="134">
        <v>203</v>
      </c>
      <c r="H35" s="133">
        <v>12826</v>
      </c>
      <c r="I35" s="133">
        <v>2</v>
      </c>
      <c r="J35" s="133">
        <v>203</v>
      </c>
      <c r="K35" s="187"/>
      <c r="L35" s="140"/>
      <c r="M35" s="140"/>
      <c r="N35" s="140"/>
      <c r="O35" s="140"/>
      <c r="P35" s="140"/>
      <c r="Q35" s="140"/>
      <c r="R35" s="140"/>
      <c r="S35" s="140"/>
      <c r="T35" s="140"/>
    </row>
    <row r="36" spans="1:20" ht="22.5" customHeight="1" x14ac:dyDescent="0.2">
      <c r="A36" s="145"/>
      <c r="B36" s="276"/>
      <c r="C36" s="275"/>
      <c r="D36" s="137" t="s">
        <v>52</v>
      </c>
      <c r="E36" s="143">
        <f>SUM(E28:E35)</f>
        <v>76763</v>
      </c>
      <c r="F36" s="144">
        <f t="shared" ref="F36:J36" si="5">SUM(F28:F35)</f>
        <v>24</v>
      </c>
      <c r="G36" s="143">
        <f t="shared" si="5"/>
        <v>1200</v>
      </c>
      <c r="H36" s="143">
        <f t="shared" si="5"/>
        <v>45548</v>
      </c>
      <c r="I36" s="144">
        <f t="shared" si="5"/>
        <v>18</v>
      </c>
      <c r="J36" s="143">
        <f t="shared" si="5"/>
        <v>841</v>
      </c>
      <c r="K36" s="187"/>
      <c r="L36" s="140"/>
      <c r="M36" s="140"/>
      <c r="N36" s="140"/>
      <c r="O36" s="140"/>
      <c r="P36" s="140"/>
      <c r="Q36" s="140"/>
      <c r="R36" s="140"/>
      <c r="S36" s="140"/>
      <c r="T36" s="140"/>
    </row>
    <row r="37" spans="1:20" ht="30.75" x14ac:dyDescent="0.2">
      <c r="A37" s="145"/>
      <c r="B37" s="276"/>
      <c r="C37" s="263" t="s">
        <v>321</v>
      </c>
      <c r="D37" s="147" t="s">
        <v>366</v>
      </c>
      <c r="E37" s="138">
        <v>18408</v>
      </c>
      <c r="F37" s="139">
        <v>4</v>
      </c>
      <c r="G37" s="134">
        <v>164</v>
      </c>
      <c r="H37" s="133">
        <f t="shared" si="1"/>
        <v>18408</v>
      </c>
      <c r="I37" s="133">
        <f t="shared" si="1"/>
        <v>4</v>
      </c>
      <c r="J37" s="133">
        <f t="shared" si="1"/>
        <v>164</v>
      </c>
      <c r="K37" s="187"/>
      <c r="L37" s="140"/>
      <c r="M37" s="140"/>
      <c r="N37" s="140"/>
      <c r="O37" s="140"/>
      <c r="P37" s="140"/>
      <c r="Q37" s="140"/>
      <c r="R37" s="140"/>
      <c r="S37" s="140"/>
      <c r="T37" s="140"/>
    </row>
    <row r="38" spans="1:20" ht="30.75" x14ac:dyDescent="0.2">
      <c r="A38" s="145"/>
      <c r="B38" s="276"/>
      <c r="C38" s="264"/>
      <c r="D38" s="147" t="s">
        <v>367</v>
      </c>
      <c r="E38" s="138">
        <v>15296</v>
      </c>
      <c r="F38" s="139">
        <v>2</v>
      </c>
      <c r="G38" s="134">
        <v>125</v>
      </c>
      <c r="H38" s="133">
        <f t="shared" si="1"/>
        <v>15296</v>
      </c>
      <c r="I38" s="133">
        <f t="shared" si="1"/>
        <v>2</v>
      </c>
      <c r="J38" s="133">
        <f t="shared" si="1"/>
        <v>125</v>
      </c>
      <c r="K38" s="187"/>
      <c r="L38" s="140"/>
      <c r="M38" s="140"/>
      <c r="N38" s="140"/>
      <c r="O38" s="140"/>
      <c r="P38" s="140"/>
      <c r="Q38" s="140"/>
      <c r="R38" s="140"/>
      <c r="S38" s="140"/>
      <c r="T38" s="140"/>
    </row>
    <row r="39" spans="1:20" ht="30.75" x14ac:dyDescent="0.2">
      <c r="A39" s="145"/>
      <c r="B39" s="276"/>
      <c r="C39" s="264"/>
      <c r="D39" s="147" t="s">
        <v>368</v>
      </c>
      <c r="E39" s="138">
        <v>16497</v>
      </c>
      <c r="F39" s="139">
        <v>2</v>
      </c>
      <c r="G39" s="134">
        <v>157</v>
      </c>
      <c r="H39" s="133">
        <f t="shared" si="1"/>
        <v>16497</v>
      </c>
      <c r="I39" s="133">
        <f t="shared" si="1"/>
        <v>2</v>
      </c>
      <c r="J39" s="133">
        <f t="shared" si="1"/>
        <v>157</v>
      </c>
      <c r="K39" s="187"/>
      <c r="L39" s="140"/>
      <c r="M39" s="140"/>
      <c r="N39" s="140"/>
      <c r="O39" s="140"/>
      <c r="P39" s="140"/>
      <c r="Q39" s="140"/>
      <c r="R39" s="140"/>
      <c r="S39" s="140"/>
      <c r="T39" s="140"/>
    </row>
    <row r="40" spans="1:20" ht="30.75" x14ac:dyDescent="0.2">
      <c r="A40" s="145"/>
      <c r="B40" s="276"/>
      <c r="C40" s="264"/>
      <c r="D40" s="147" t="s">
        <v>369</v>
      </c>
      <c r="E40" s="138">
        <v>16203</v>
      </c>
      <c r="F40" s="139">
        <v>2</v>
      </c>
      <c r="G40" s="134">
        <v>206</v>
      </c>
      <c r="H40" s="133">
        <f t="shared" si="1"/>
        <v>16203</v>
      </c>
      <c r="I40" s="133">
        <f t="shared" si="1"/>
        <v>2</v>
      </c>
      <c r="J40" s="133">
        <f t="shared" si="1"/>
        <v>206</v>
      </c>
      <c r="K40" s="187"/>
      <c r="L40" s="140"/>
      <c r="M40" s="140"/>
      <c r="N40" s="140"/>
      <c r="O40" s="140"/>
      <c r="P40" s="140"/>
      <c r="Q40" s="140"/>
      <c r="R40" s="140"/>
      <c r="S40" s="140"/>
      <c r="T40" s="140"/>
    </row>
    <row r="41" spans="1:20" ht="31.5" thickBot="1" x14ac:dyDescent="0.25">
      <c r="A41" s="145"/>
      <c r="B41" s="146"/>
      <c r="C41" s="264"/>
      <c r="D41" s="148" t="s">
        <v>370</v>
      </c>
      <c r="E41" s="149">
        <v>15574</v>
      </c>
      <c r="F41" s="150">
        <v>1</v>
      </c>
      <c r="G41" s="151">
        <v>206</v>
      </c>
      <c r="H41" s="152">
        <f t="shared" ref="H41" si="6">E41-(L41+O41+R41)</f>
        <v>15574</v>
      </c>
      <c r="I41" s="152">
        <f t="shared" ref="I41" si="7">F41-(M41+P41+S41)</f>
        <v>1</v>
      </c>
      <c r="J41" s="152">
        <f t="shared" ref="J41" si="8">G41-(N41+Q41+T41)</f>
        <v>206</v>
      </c>
      <c r="K41" s="187"/>
      <c r="L41" s="140"/>
      <c r="M41" s="140"/>
      <c r="N41" s="140"/>
      <c r="O41" s="140"/>
      <c r="P41" s="140"/>
      <c r="Q41" s="140"/>
      <c r="R41" s="140"/>
      <c r="S41" s="140"/>
      <c r="T41" s="140"/>
    </row>
    <row r="42" spans="1:20" ht="37.5" x14ac:dyDescent="0.2">
      <c r="A42" s="145"/>
      <c r="B42" s="146"/>
      <c r="C42" s="265" t="s">
        <v>218</v>
      </c>
      <c r="D42" s="153" t="s">
        <v>74</v>
      </c>
      <c r="E42" s="154">
        <v>4418</v>
      </c>
      <c r="F42" s="155">
        <v>7</v>
      </c>
      <c r="G42" s="156">
        <v>111</v>
      </c>
      <c r="H42" s="157">
        <v>0</v>
      </c>
      <c r="I42" s="157">
        <v>0</v>
      </c>
      <c r="J42" s="158">
        <v>0</v>
      </c>
      <c r="K42" s="191" t="s">
        <v>326</v>
      </c>
      <c r="L42" s="140"/>
      <c r="M42" s="140"/>
      <c r="N42" s="140"/>
      <c r="O42" s="140"/>
      <c r="P42" s="140"/>
      <c r="Q42" s="140"/>
      <c r="R42" s="140"/>
      <c r="S42" s="140"/>
      <c r="T42" s="140"/>
    </row>
    <row r="43" spans="1:20" ht="49.5" x14ac:dyDescent="0.2">
      <c r="A43" s="145"/>
      <c r="B43" s="146"/>
      <c r="C43" s="266"/>
      <c r="D43" s="159" t="s">
        <v>75</v>
      </c>
      <c r="E43" s="138">
        <v>8281</v>
      </c>
      <c r="F43" s="139">
        <v>2</v>
      </c>
      <c r="G43" s="134">
        <v>211</v>
      </c>
      <c r="H43" s="133">
        <v>0</v>
      </c>
      <c r="I43" s="133">
        <v>0</v>
      </c>
      <c r="J43" s="160">
        <v>0</v>
      </c>
      <c r="K43" s="191" t="s">
        <v>327</v>
      </c>
      <c r="L43" s="140"/>
      <c r="M43" s="140"/>
      <c r="N43" s="140"/>
      <c r="O43" s="140"/>
      <c r="P43" s="140"/>
      <c r="Q43" s="140"/>
      <c r="R43" s="140"/>
      <c r="S43" s="140"/>
      <c r="T43" s="140"/>
    </row>
    <row r="44" spans="1:20" ht="49.5" x14ac:dyDescent="0.2">
      <c r="A44" s="145"/>
      <c r="B44" s="146"/>
      <c r="C44" s="266"/>
      <c r="D44" s="159" t="s">
        <v>76</v>
      </c>
      <c r="E44" s="138">
        <v>7523</v>
      </c>
      <c r="F44" s="139">
        <v>2</v>
      </c>
      <c r="G44" s="134">
        <v>159</v>
      </c>
      <c r="H44" s="133">
        <v>0</v>
      </c>
      <c r="I44" s="133">
        <v>0</v>
      </c>
      <c r="J44" s="160">
        <v>0</v>
      </c>
      <c r="K44" s="191" t="s">
        <v>328</v>
      </c>
      <c r="L44" s="140"/>
      <c r="M44" s="140"/>
      <c r="N44" s="140"/>
      <c r="O44" s="140"/>
      <c r="P44" s="140"/>
      <c r="Q44" s="140"/>
      <c r="R44" s="140"/>
      <c r="S44" s="140"/>
      <c r="T44" s="140"/>
    </row>
    <row r="45" spans="1:20" ht="37.5" x14ac:dyDescent="0.2">
      <c r="A45" s="145"/>
      <c r="B45" s="146"/>
      <c r="C45" s="266"/>
      <c r="D45" s="159" t="s">
        <v>77</v>
      </c>
      <c r="E45" s="138">
        <v>4265</v>
      </c>
      <c r="F45" s="139">
        <v>4</v>
      </c>
      <c r="G45" s="134">
        <v>115</v>
      </c>
      <c r="H45" s="133">
        <v>0</v>
      </c>
      <c r="I45" s="133">
        <v>0</v>
      </c>
      <c r="J45" s="160">
        <v>0</v>
      </c>
      <c r="K45" s="191" t="s">
        <v>329</v>
      </c>
      <c r="L45" s="140"/>
      <c r="M45" s="140"/>
      <c r="N45" s="140"/>
      <c r="O45" s="140"/>
      <c r="P45" s="140"/>
      <c r="Q45" s="140"/>
      <c r="R45" s="140"/>
      <c r="S45" s="140"/>
      <c r="T45" s="140"/>
    </row>
    <row r="46" spans="1:20" ht="37.5" x14ac:dyDescent="0.2">
      <c r="A46" s="145"/>
      <c r="B46" s="146"/>
      <c r="C46" s="266"/>
      <c r="D46" s="159" t="s">
        <v>78</v>
      </c>
      <c r="E46" s="138">
        <v>5731</v>
      </c>
      <c r="F46" s="139">
        <v>5</v>
      </c>
      <c r="G46" s="134">
        <v>107</v>
      </c>
      <c r="H46" s="133">
        <v>0</v>
      </c>
      <c r="I46" s="133">
        <v>0</v>
      </c>
      <c r="J46" s="160">
        <v>0</v>
      </c>
      <c r="K46" s="191" t="s">
        <v>330</v>
      </c>
      <c r="L46" s="140"/>
      <c r="M46" s="140"/>
      <c r="N46" s="140"/>
      <c r="O46" s="140"/>
      <c r="P46" s="140"/>
      <c r="Q46" s="140"/>
      <c r="R46" s="140"/>
      <c r="S46" s="140"/>
      <c r="T46" s="140"/>
    </row>
    <row r="47" spans="1:20" ht="16.5" thickBot="1" x14ac:dyDescent="0.25">
      <c r="A47" s="145"/>
      <c r="B47" s="161"/>
      <c r="C47" s="162"/>
      <c r="D47" s="163" t="s">
        <v>52</v>
      </c>
      <c r="E47" s="164">
        <f>SUM(E42:E46)</f>
        <v>30218</v>
      </c>
      <c r="F47" s="165">
        <f t="shared" ref="F47:J47" si="9">SUM(F42:F46)</f>
        <v>20</v>
      </c>
      <c r="G47" s="164">
        <f t="shared" si="9"/>
        <v>703</v>
      </c>
      <c r="H47" s="164">
        <f t="shared" si="9"/>
        <v>0</v>
      </c>
      <c r="I47" s="165">
        <f t="shared" si="9"/>
        <v>0</v>
      </c>
      <c r="J47" s="166">
        <f t="shared" si="9"/>
        <v>0</v>
      </c>
      <c r="K47" s="188"/>
      <c r="L47" s="140"/>
      <c r="M47" s="140"/>
      <c r="N47" s="140"/>
      <c r="O47" s="140"/>
      <c r="P47" s="140"/>
      <c r="Q47" s="140"/>
      <c r="R47" s="140"/>
      <c r="S47" s="140"/>
      <c r="T47" s="140"/>
    </row>
    <row r="48" spans="1:20" ht="15.75" x14ac:dyDescent="0.2">
      <c r="A48" s="145"/>
      <c r="B48" s="277" t="s">
        <v>83</v>
      </c>
      <c r="C48" s="278"/>
      <c r="D48" s="279"/>
      <c r="E48" s="167">
        <f>E12+E18+E27+E36+E37+E38+E39+E40+E47+E41</f>
        <v>323371</v>
      </c>
      <c r="F48" s="167">
        <f>F12+F18+F27+F36+F37+F38+F39+F40+F47+F41</f>
        <v>189</v>
      </c>
      <c r="G48" s="167">
        <f>G12+G18+G27+G36+G37+G38+G39+G40+G47+G41</f>
        <v>4656</v>
      </c>
      <c r="H48" s="167">
        <f>H12+H18+H27+H36+H37+H38+H39+H40+H47+H41</f>
        <v>261177</v>
      </c>
      <c r="I48" s="167">
        <f t="shared" ref="I48:J48" si="10">I12+I18+I27+I36+I37+I38+I39+I40+I47+I41</f>
        <v>157</v>
      </c>
      <c r="J48" s="167">
        <f t="shared" si="10"/>
        <v>3655</v>
      </c>
      <c r="K48" s="187"/>
      <c r="L48" s="140">
        <f t="shared" ref="L48:T48" si="11">SUM(L6:L47)</f>
        <v>0</v>
      </c>
      <c r="M48" s="140">
        <f t="shared" si="11"/>
        <v>0</v>
      </c>
      <c r="N48" s="140">
        <f t="shared" si="11"/>
        <v>0</v>
      </c>
      <c r="O48" s="140">
        <f t="shared" si="11"/>
        <v>0</v>
      </c>
      <c r="P48" s="140">
        <f t="shared" si="11"/>
        <v>0</v>
      </c>
      <c r="Q48" s="140">
        <f t="shared" si="11"/>
        <v>0</v>
      </c>
      <c r="R48" s="140">
        <f t="shared" si="11"/>
        <v>0</v>
      </c>
      <c r="S48" s="140">
        <f t="shared" si="11"/>
        <v>0</v>
      </c>
      <c r="T48" s="140">
        <f t="shared" si="11"/>
        <v>0</v>
      </c>
    </row>
    <row r="49" spans="1:20" ht="15.75" x14ac:dyDescent="0.2">
      <c r="A49" s="145"/>
      <c r="B49" s="274" t="s">
        <v>130</v>
      </c>
      <c r="C49" s="269" t="s">
        <v>84</v>
      </c>
      <c r="D49" s="168" t="s">
        <v>85</v>
      </c>
      <c r="E49" s="138">
        <v>12239</v>
      </c>
      <c r="F49" s="139">
        <v>3</v>
      </c>
      <c r="G49" s="138">
        <v>109</v>
      </c>
      <c r="H49" s="133">
        <f t="shared" si="1"/>
        <v>12239</v>
      </c>
      <c r="I49" s="133">
        <f t="shared" si="1"/>
        <v>3</v>
      </c>
      <c r="J49" s="133">
        <f t="shared" si="1"/>
        <v>109</v>
      </c>
      <c r="K49" s="187"/>
      <c r="L49" s="140"/>
      <c r="M49" s="140"/>
      <c r="N49" s="140"/>
      <c r="O49" s="140"/>
      <c r="P49" s="140"/>
      <c r="Q49" s="140"/>
      <c r="R49" s="140"/>
      <c r="S49" s="140"/>
      <c r="T49" s="140"/>
    </row>
    <row r="50" spans="1:20" ht="37.5" x14ac:dyDescent="0.2">
      <c r="A50" s="145"/>
      <c r="B50" s="267"/>
      <c r="C50" s="259"/>
      <c r="D50" s="168" t="s">
        <v>86</v>
      </c>
      <c r="E50" s="138">
        <v>8810</v>
      </c>
      <c r="F50" s="139">
        <v>6</v>
      </c>
      <c r="G50" s="138">
        <v>202</v>
      </c>
      <c r="H50" s="133">
        <f>E50-(L50+O50+R50)-3600</f>
        <v>5054</v>
      </c>
      <c r="I50" s="133">
        <f>F50-(M50+P50+S50)-2</f>
        <v>4</v>
      </c>
      <c r="J50" s="133">
        <f>G50-(N50+Q50+T50)-72</f>
        <v>126</v>
      </c>
      <c r="K50" s="192" t="s">
        <v>344</v>
      </c>
      <c r="L50" s="140"/>
      <c r="M50" s="140"/>
      <c r="N50" s="140"/>
      <c r="O50" s="140">
        <v>156</v>
      </c>
      <c r="P50" s="140">
        <v>0</v>
      </c>
      <c r="Q50" s="140">
        <v>4</v>
      </c>
      <c r="R50" s="140"/>
      <c r="S50" s="140"/>
      <c r="T50" s="140"/>
    </row>
    <row r="51" spans="1:20" ht="37.5" x14ac:dyDescent="0.2">
      <c r="A51" s="145"/>
      <c r="B51" s="267"/>
      <c r="C51" s="259"/>
      <c r="D51" s="168" t="s">
        <v>87</v>
      </c>
      <c r="E51" s="138">
        <v>6320</v>
      </c>
      <c r="F51" s="139">
        <v>0</v>
      </c>
      <c r="G51" s="138">
        <v>128</v>
      </c>
      <c r="H51" s="133">
        <f>E51-(L51+O51+R51)</f>
        <v>5642</v>
      </c>
      <c r="I51" s="133">
        <f t="shared" si="1"/>
        <v>0</v>
      </c>
      <c r="J51" s="133">
        <f>G51-(N51+Q51+T51)</f>
        <v>122</v>
      </c>
      <c r="K51" s="192" t="s">
        <v>314</v>
      </c>
      <c r="L51" s="140"/>
      <c r="M51" s="140"/>
      <c r="N51" s="140"/>
      <c r="O51" s="140">
        <v>678</v>
      </c>
      <c r="P51" s="140">
        <v>0</v>
      </c>
      <c r="Q51" s="140">
        <v>6</v>
      </c>
      <c r="R51" s="140"/>
      <c r="S51" s="140"/>
      <c r="T51" s="140"/>
    </row>
    <row r="52" spans="1:20" ht="49.5" x14ac:dyDescent="0.2">
      <c r="A52" s="145"/>
      <c r="B52" s="267"/>
      <c r="C52" s="259"/>
      <c r="D52" s="193" t="s">
        <v>250</v>
      </c>
      <c r="E52" s="139">
        <v>0</v>
      </c>
      <c r="F52" s="139">
        <v>0</v>
      </c>
      <c r="G52" s="139">
        <v>0</v>
      </c>
      <c r="H52" s="133">
        <v>6000</v>
      </c>
      <c r="I52" s="133">
        <v>3</v>
      </c>
      <c r="J52" s="133">
        <v>102</v>
      </c>
      <c r="K52" s="192" t="s">
        <v>352</v>
      </c>
      <c r="L52" s="140"/>
      <c r="M52" s="140"/>
      <c r="N52" s="140"/>
      <c r="O52" s="140"/>
      <c r="P52" s="140"/>
      <c r="Q52" s="140"/>
      <c r="R52" s="140"/>
      <c r="S52" s="140"/>
      <c r="T52" s="140"/>
    </row>
    <row r="53" spans="1:20" ht="25.5" x14ac:dyDescent="0.2">
      <c r="A53" s="145"/>
      <c r="B53" s="267"/>
      <c r="C53" s="259"/>
      <c r="D53" s="168" t="s">
        <v>88</v>
      </c>
      <c r="E53" s="138">
        <v>17075</v>
      </c>
      <c r="F53" s="139">
        <v>8</v>
      </c>
      <c r="G53" s="138">
        <v>223</v>
      </c>
      <c r="H53" s="133">
        <f>E53-(L53+O53+R53)-6000</f>
        <v>11075</v>
      </c>
      <c r="I53" s="133">
        <f>F53-(M53+P53+S53)-3</f>
        <v>5</v>
      </c>
      <c r="J53" s="133">
        <f>G53-(N53+Q53+T53)-102</f>
        <v>121</v>
      </c>
      <c r="K53" s="192" t="s">
        <v>351</v>
      </c>
      <c r="L53" s="140"/>
      <c r="M53" s="140"/>
      <c r="N53" s="140"/>
      <c r="O53" s="140"/>
      <c r="P53" s="140"/>
      <c r="Q53" s="140"/>
      <c r="R53" s="140"/>
      <c r="S53" s="140"/>
      <c r="T53" s="140"/>
    </row>
    <row r="54" spans="1:20" ht="15.75" x14ac:dyDescent="0.2">
      <c r="A54" s="145"/>
      <c r="B54" s="267"/>
      <c r="C54" s="260"/>
      <c r="D54" s="170" t="s">
        <v>52</v>
      </c>
      <c r="E54" s="143">
        <f t="shared" ref="E54:J54" si="12">SUM(E49:E53)</f>
        <v>44444</v>
      </c>
      <c r="F54" s="144">
        <f t="shared" si="12"/>
        <v>17</v>
      </c>
      <c r="G54" s="143">
        <f t="shared" si="12"/>
        <v>662</v>
      </c>
      <c r="H54" s="136">
        <f t="shared" si="12"/>
        <v>40010</v>
      </c>
      <c r="I54" s="136">
        <f t="shared" si="12"/>
        <v>15</v>
      </c>
      <c r="J54" s="136">
        <f t="shared" si="12"/>
        <v>580</v>
      </c>
      <c r="K54" s="192"/>
      <c r="L54" s="140"/>
      <c r="M54" s="140"/>
      <c r="N54" s="140"/>
      <c r="O54" s="140"/>
      <c r="P54" s="140"/>
      <c r="Q54" s="140"/>
      <c r="R54" s="140"/>
      <c r="S54" s="140"/>
      <c r="T54" s="140"/>
    </row>
    <row r="55" spans="1:20" ht="25.5" x14ac:dyDescent="0.2">
      <c r="A55" s="145"/>
      <c r="B55" s="267"/>
      <c r="C55" s="269" t="s">
        <v>89</v>
      </c>
      <c r="D55" s="168" t="s">
        <v>90</v>
      </c>
      <c r="E55" s="138">
        <v>10444</v>
      </c>
      <c r="F55" s="139">
        <v>10</v>
      </c>
      <c r="G55" s="138">
        <v>209</v>
      </c>
      <c r="H55" s="133">
        <f>E55-(L55+O55+R55)-5400</f>
        <v>5044</v>
      </c>
      <c r="I55" s="133">
        <f t="shared" si="1"/>
        <v>10</v>
      </c>
      <c r="J55" s="133">
        <f>G55-(N55+Q55+T55)-60</f>
        <v>149</v>
      </c>
      <c r="K55" s="192" t="s">
        <v>290</v>
      </c>
      <c r="L55" s="140"/>
      <c r="M55" s="140"/>
      <c r="N55" s="140"/>
      <c r="O55" s="140"/>
      <c r="P55" s="140"/>
      <c r="Q55" s="140"/>
      <c r="R55" s="140"/>
      <c r="S55" s="140"/>
      <c r="T55" s="140"/>
    </row>
    <row r="56" spans="1:20" ht="25.5" x14ac:dyDescent="0.2">
      <c r="A56" s="145"/>
      <c r="B56" s="267"/>
      <c r="C56" s="259"/>
      <c r="D56" s="168" t="s">
        <v>92</v>
      </c>
      <c r="E56" s="138">
        <v>11559</v>
      </c>
      <c r="F56" s="139">
        <v>8</v>
      </c>
      <c r="G56" s="138">
        <v>167</v>
      </c>
      <c r="H56" s="133">
        <f>E56-(L56+O56+R56)-3900</f>
        <v>7659</v>
      </c>
      <c r="I56" s="133">
        <f>F56-(M56+P56+S56)-2</f>
        <v>6</v>
      </c>
      <c r="J56" s="133">
        <f>G56-(N56+Q56+T56)-45</f>
        <v>122</v>
      </c>
      <c r="K56" s="192" t="s">
        <v>349</v>
      </c>
      <c r="L56" s="140"/>
      <c r="M56" s="140"/>
      <c r="N56" s="140"/>
      <c r="O56" s="140"/>
      <c r="P56" s="140"/>
      <c r="Q56" s="140"/>
      <c r="R56" s="140"/>
      <c r="S56" s="140"/>
      <c r="T56" s="140"/>
    </row>
    <row r="57" spans="1:20" ht="37.5" customHeight="1" x14ac:dyDescent="0.2">
      <c r="A57" s="145"/>
      <c r="B57" s="267"/>
      <c r="C57" s="259"/>
      <c r="D57" s="168" t="s">
        <v>93</v>
      </c>
      <c r="E57" s="138">
        <v>4430</v>
      </c>
      <c r="F57" s="139">
        <v>0</v>
      </c>
      <c r="G57" s="138">
        <v>133</v>
      </c>
      <c r="H57" s="133">
        <f>E57-(L57+O57+R57)+151</f>
        <v>4550</v>
      </c>
      <c r="I57" s="133">
        <f t="shared" si="1"/>
        <v>0</v>
      </c>
      <c r="J57" s="133">
        <f>G57-(N57+Q57+T57)+4</f>
        <v>136</v>
      </c>
      <c r="K57" s="192" t="s">
        <v>317</v>
      </c>
      <c r="L57" s="140"/>
      <c r="M57" s="140"/>
      <c r="N57" s="140"/>
      <c r="O57" s="140">
        <v>31</v>
      </c>
      <c r="P57" s="140">
        <v>0</v>
      </c>
      <c r="Q57" s="140">
        <v>1</v>
      </c>
      <c r="R57" s="140"/>
      <c r="S57" s="140"/>
      <c r="T57" s="140"/>
    </row>
    <row r="58" spans="1:20" ht="54.75" customHeight="1" x14ac:dyDescent="0.2">
      <c r="A58" s="145"/>
      <c r="B58" s="267"/>
      <c r="C58" s="259"/>
      <c r="D58" s="193" t="s">
        <v>225</v>
      </c>
      <c r="E58" s="139">
        <v>0</v>
      </c>
      <c r="F58" s="139">
        <v>0</v>
      </c>
      <c r="G58" s="139">
        <v>0</v>
      </c>
      <c r="H58" s="133">
        <f>5400+1800+950</f>
        <v>8150</v>
      </c>
      <c r="I58" s="133">
        <f>4</f>
        <v>4</v>
      </c>
      <c r="J58" s="133">
        <f>60+44+11</f>
        <v>115</v>
      </c>
      <c r="K58" s="192" t="s">
        <v>347</v>
      </c>
      <c r="L58" s="140"/>
      <c r="M58" s="140"/>
      <c r="N58" s="140"/>
      <c r="O58" s="140"/>
      <c r="P58" s="140"/>
      <c r="Q58" s="140"/>
      <c r="R58" s="140"/>
      <c r="S58" s="140"/>
      <c r="T58" s="140"/>
    </row>
    <row r="59" spans="1:20" ht="25.5" x14ac:dyDescent="0.2">
      <c r="A59" s="145"/>
      <c r="B59" s="267"/>
      <c r="C59" s="259"/>
      <c r="D59" s="168" t="s">
        <v>248</v>
      </c>
      <c r="E59" s="138">
        <v>0</v>
      </c>
      <c r="F59" s="139">
        <v>0</v>
      </c>
      <c r="G59" s="138">
        <v>0</v>
      </c>
      <c r="H59" s="133">
        <v>4606</v>
      </c>
      <c r="I59" s="133">
        <v>11</v>
      </c>
      <c r="J59" s="133">
        <v>156</v>
      </c>
      <c r="K59" s="192" t="s">
        <v>291</v>
      </c>
      <c r="L59" s="140"/>
      <c r="M59" s="140"/>
      <c r="N59" s="140"/>
      <c r="O59" s="140"/>
      <c r="P59" s="140"/>
      <c r="Q59" s="140"/>
      <c r="R59" s="140"/>
      <c r="S59" s="140"/>
      <c r="T59" s="140"/>
    </row>
    <row r="60" spans="1:20" ht="37.5" x14ac:dyDescent="0.2">
      <c r="A60" s="145"/>
      <c r="B60" s="267"/>
      <c r="C60" s="259"/>
      <c r="D60" s="168" t="s">
        <v>134</v>
      </c>
      <c r="E60" s="138">
        <v>0</v>
      </c>
      <c r="F60" s="139">
        <v>0</v>
      </c>
      <c r="G60" s="138">
        <v>0</v>
      </c>
      <c r="H60" s="133">
        <v>4757</v>
      </c>
      <c r="I60" s="133" t="s">
        <v>371</v>
      </c>
      <c r="J60" s="133">
        <v>128</v>
      </c>
      <c r="K60" s="192" t="s">
        <v>292</v>
      </c>
      <c r="L60" s="140"/>
      <c r="M60" s="140"/>
      <c r="N60" s="140"/>
      <c r="O60" s="140"/>
      <c r="P60" s="140"/>
      <c r="Q60" s="140"/>
      <c r="R60" s="140"/>
      <c r="S60" s="140"/>
      <c r="T60" s="140"/>
    </row>
    <row r="61" spans="1:20" ht="49.5" x14ac:dyDescent="0.2">
      <c r="A61" s="145"/>
      <c r="B61" s="267"/>
      <c r="C61" s="259"/>
      <c r="D61" s="193" t="s">
        <v>227</v>
      </c>
      <c r="E61" s="139">
        <v>0</v>
      </c>
      <c r="F61" s="139">
        <v>0</v>
      </c>
      <c r="G61" s="139">
        <v>0</v>
      </c>
      <c r="H61" s="133">
        <f>3900+4200</f>
        <v>8100</v>
      </c>
      <c r="I61" s="133">
        <f>4</f>
        <v>4</v>
      </c>
      <c r="J61" s="133">
        <f>45+45</f>
        <v>90</v>
      </c>
      <c r="K61" s="192" t="s">
        <v>348</v>
      </c>
      <c r="L61" s="140"/>
      <c r="M61" s="140"/>
      <c r="N61" s="140"/>
      <c r="O61" s="140"/>
      <c r="P61" s="140"/>
      <c r="Q61" s="140"/>
      <c r="R61" s="140"/>
      <c r="S61" s="140"/>
      <c r="T61" s="140"/>
    </row>
    <row r="62" spans="1:20" ht="15.75" x14ac:dyDescent="0.2">
      <c r="A62" s="145"/>
      <c r="B62" s="267"/>
      <c r="C62" s="260"/>
      <c r="D62" s="170" t="s">
        <v>52</v>
      </c>
      <c r="E62" s="143">
        <f>SUM(E55:E61)</f>
        <v>26433</v>
      </c>
      <c r="F62" s="144">
        <f>SUM(F55:F61)</f>
        <v>18</v>
      </c>
      <c r="G62" s="143">
        <f>SUM(G55:G61)</f>
        <v>509</v>
      </c>
      <c r="H62" s="143">
        <f>SUM(H55:H61)</f>
        <v>42866</v>
      </c>
      <c r="I62" s="144">
        <f>SUM(I55:I59)+15+I61</f>
        <v>50</v>
      </c>
      <c r="J62" s="143">
        <f>SUM(J55:J61)</f>
        <v>896</v>
      </c>
      <c r="K62" s="192"/>
      <c r="L62" s="140"/>
      <c r="M62" s="140"/>
      <c r="N62" s="140"/>
      <c r="O62" s="140"/>
      <c r="P62" s="140"/>
      <c r="Q62" s="140"/>
      <c r="R62" s="140"/>
      <c r="S62" s="140"/>
      <c r="T62" s="140"/>
    </row>
    <row r="63" spans="1:20" ht="15.75" x14ac:dyDescent="0.2">
      <c r="A63" s="145"/>
      <c r="B63" s="267" t="s">
        <v>130</v>
      </c>
      <c r="C63" s="269" t="s">
        <v>94</v>
      </c>
      <c r="D63" s="168" t="s">
        <v>95</v>
      </c>
      <c r="E63" s="138">
        <v>13216</v>
      </c>
      <c r="F63" s="139">
        <v>4</v>
      </c>
      <c r="G63" s="138">
        <v>129</v>
      </c>
      <c r="H63" s="133">
        <f t="shared" si="1"/>
        <v>13216</v>
      </c>
      <c r="I63" s="133">
        <f t="shared" si="1"/>
        <v>4</v>
      </c>
      <c r="J63" s="133">
        <f t="shared" si="1"/>
        <v>129</v>
      </c>
      <c r="K63" s="192"/>
      <c r="L63" s="140"/>
      <c r="M63" s="140"/>
      <c r="N63" s="140"/>
      <c r="O63" s="140"/>
      <c r="P63" s="140"/>
      <c r="Q63" s="140"/>
      <c r="R63" s="140"/>
      <c r="S63" s="140"/>
      <c r="T63" s="140"/>
    </row>
    <row r="64" spans="1:20" ht="37.5" x14ac:dyDescent="0.2">
      <c r="A64" s="145"/>
      <c r="B64" s="267"/>
      <c r="C64" s="259"/>
      <c r="D64" s="168" t="s">
        <v>96</v>
      </c>
      <c r="E64" s="138">
        <v>20321</v>
      </c>
      <c r="F64" s="139">
        <v>5</v>
      </c>
      <c r="G64" s="138">
        <v>258</v>
      </c>
      <c r="H64" s="133">
        <f>E64-(L64+O64+R64)-1791-4200</f>
        <v>14330</v>
      </c>
      <c r="I64" s="133">
        <f>F64-(M64+P64+S64)-2</f>
        <v>3</v>
      </c>
      <c r="J64" s="133">
        <f>G64-(N64+Q64+T64)-20-45</f>
        <v>193</v>
      </c>
      <c r="K64" s="192" t="s">
        <v>350</v>
      </c>
      <c r="L64" s="140"/>
      <c r="M64" s="140"/>
      <c r="N64" s="140"/>
      <c r="O64" s="140"/>
      <c r="P64" s="140"/>
      <c r="Q64" s="140"/>
      <c r="R64" s="140"/>
      <c r="S64" s="140"/>
      <c r="T64" s="140"/>
    </row>
    <row r="65" spans="1:20" ht="25.5" x14ac:dyDescent="0.2">
      <c r="A65" s="145"/>
      <c r="B65" s="267"/>
      <c r="C65" s="259"/>
      <c r="D65" s="168" t="s">
        <v>99</v>
      </c>
      <c r="E65" s="138">
        <v>18659</v>
      </c>
      <c r="F65" s="139">
        <v>6</v>
      </c>
      <c r="G65" s="138">
        <v>225</v>
      </c>
      <c r="H65" s="133">
        <f>E65-(L65+O65+R65)-1447</f>
        <v>17212</v>
      </c>
      <c r="I65" s="133">
        <f t="shared" si="1"/>
        <v>6</v>
      </c>
      <c r="J65" s="133">
        <f>G65-(N65+Q65+T65)-14</f>
        <v>211</v>
      </c>
      <c r="K65" s="192" t="s">
        <v>293</v>
      </c>
      <c r="L65" s="140"/>
      <c r="M65" s="140"/>
      <c r="N65" s="140"/>
      <c r="O65" s="140"/>
      <c r="P65" s="140"/>
      <c r="Q65" s="140"/>
      <c r="R65" s="140"/>
      <c r="S65" s="140"/>
      <c r="T65" s="140"/>
    </row>
    <row r="66" spans="1:20" ht="25.5" x14ac:dyDescent="0.2">
      <c r="A66" s="145"/>
      <c r="B66" s="267"/>
      <c r="C66" s="259"/>
      <c r="D66" s="168" t="s">
        <v>101</v>
      </c>
      <c r="E66" s="138">
        <v>13915</v>
      </c>
      <c r="F66" s="139">
        <v>9</v>
      </c>
      <c r="G66" s="138">
        <v>164</v>
      </c>
      <c r="H66" s="133">
        <f>E66-(L66+O66+R66)+1791</f>
        <v>15706</v>
      </c>
      <c r="I66" s="133">
        <f t="shared" si="1"/>
        <v>9</v>
      </c>
      <c r="J66" s="133">
        <f>G66-(N66+Q66+T66)+20</f>
        <v>184</v>
      </c>
      <c r="K66" s="192" t="s">
        <v>294</v>
      </c>
      <c r="L66" s="140"/>
      <c r="M66" s="140"/>
      <c r="N66" s="140"/>
      <c r="O66" s="140"/>
      <c r="P66" s="140"/>
      <c r="Q66" s="140"/>
      <c r="R66" s="140"/>
      <c r="S66" s="140"/>
      <c r="T66" s="140"/>
    </row>
    <row r="67" spans="1:20" ht="25.5" x14ac:dyDescent="0.2">
      <c r="A67" s="145"/>
      <c r="B67" s="267"/>
      <c r="C67" s="259"/>
      <c r="D67" s="168" t="s">
        <v>136</v>
      </c>
      <c r="E67" s="138">
        <v>0</v>
      </c>
      <c r="F67" s="139">
        <v>0</v>
      </c>
      <c r="G67" s="138">
        <v>0</v>
      </c>
      <c r="H67" s="133">
        <v>9464</v>
      </c>
      <c r="I67" s="133">
        <v>4</v>
      </c>
      <c r="J67" s="133">
        <v>135</v>
      </c>
      <c r="K67" s="192" t="s">
        <v>295</v>
      </c>
      <c r="L67" s="140"/>
      <c r="M67" s="140"/>
      <c r="N67" s="140"/>
      <c r="O67" s="140"/>
      <c r="P67" s="140"/>
      <c r="Q67" s="140"/>
      <c r="R67" s="140"/>
      <c r="S67" s="140"/>
      <c r="T67" s="140"/>
    </row>
    <row r="68" spans="1:20" ht="28.5" customHeight="1" x14ac:dyDescent="0.2">
      <c r="A68" s="145"/>
      <c r="B68" s="267"/>
      <c r="C68" s="259"/>
      <c r="D68" s="168" t="s">
        <v>246</v>
      </c>
      <c r="E68" s="138">
        <v>0</v>
      </c>
      <c r="F68" s="139">
        <v>0</v>
      </c>
      <c r="G68" s="138">
        <v>0</v>
      </c>
      <c r="H68" s="133">
        <v>8815</v>
      </c>
      <c r="I68" s="133">
        <v>10</v>
      </c>
      <c r="J68" s="133">
        <v>268</v>
      </c>
      <c r="K68" s="192" t="s">
        <v>296</v>
      </c>
      <c r="L68" s="140"/>
      <c r="M68" s="140"/>
      <c r="N68" s="140"/>
      <c r="O68" s="140"/>
      <c r="P68" s="140"/>
      <c r="Q68" s="140"/>
      <c r="R68" s="140"/>
      <c r="S68" s="140"/>
      <c r="T68" s="140"/>
    </row>
    <row r="69" spans="1:20" ht="53.25" customHeight="1" x14ac:dyDescent="0.2">
      <c r="A69" s="145"/>
      <c r="B69" s="267"/>
      <c r="C69" s="259"/>
      <c r="D69" s="194" t="s">
        <v>242</v>
      </c>
      <c r="E69" s="171">
        <v>0</v>
      </c>
      <c r="F69" s="171">
        <v>0</v>
      </c>
      <c r="G69" s="171">
        <v>0</v>
      </c>
      <c r="H69" s="171">
        <f>6877+2100</f>
        <v>8977</v>
      </c>
      <c r="I69" s="171">
        <f>F69-(M69+P69+S69)+4</f>
        <v>4</v>
      </c>
      <c r="J69" s="171">
        <f>98+30</f>
        <v>128</v>
      </c>
      <c r="K69" s="192" t="s">
        <v>353</v>
      </c>
      <c r="L69" s="140"/>
      <c r="M69" s="140"/>
      <c r="N69" s="140"/>
      <c r="O69" s="140"/>
      <c r="P69" s="140"/>
      <c r="Q69" s="140"/>
      <c r="R69" s="140"/>
      <c r="S69" s="140"/>
      <c r="T69" s="140"/>
    </row>
    <row r="70" spans="1:20" ht="49.5" x14ac:dyDescent="0.2">
      <c r="A70" s="145"/>
      <c r="B70" s="267"/>
      <c r="C70" s="259"/>
      <c r="D70" s="132" t="s">
        <v>97</v>
      </c>
      <c r="E70" s="172">
        <v>11517</v>
      </c>
      <c r="F70" s="171">
        <v>2</v>
      </c>
      <c r="G70" s="172">
        <v>160</v>
      </c>
      <c r="H70" s="172">
        <v>0</v>
      </c>
      <c r="I70" s="171">
        <v>0</v>
      </c>
      <c r="J70" s="172">
        <v>0</v>
      </c>
      <c r="K70" s="192" t="s">
        <v>306</v>
      </c>
      <c r="L70" s="140"/>
      <c r="M70" s="140"/>
      <c r="N70" s="140"/>
      <c r="O70" s="140"/>
      <c r="P70" s="140"/>
      <c r="Q70" s="140"/>
      <c r="R70" s="140"/>
      <c r="S70" s="140"/>
      <c r="T70" s="140"/>
    </row>
    <row r="71" spans="1:20" ht="74.25" x14ac:dyDescent="0.2">
      <c r="A71" s="145"/>
      <c r="B71" s="267"/>
      <c r="C71" s="259"/>
      <c r="D71" s="132" t="s">
        <v>98</v>
      </c>
      <c r="E71" s="172">
        <v>18852</v>
      </c>
      <c r="F71" s="171">
        <v>10</v>
      </c>
      <c r="G71" s="172">
        <v>236</v>
      </c>
      <c r="H71" s="172">
        <v>0</v>
      </c>
      <c r="I71" s="171">
        <v>0</v>
      </c>
      <c r="J71" s="172">
        <v>0</v>
      </c>
      <c r="K71" s="192" t="s">
        <v>354</v>
      </c>
      <c r="L71" s="140"/>
      <c r="M71" s="140"/>
      <c r="N71" s="140"/>
      <c r="O71" s="140"/>
      <c r="P71" s="140"/>
      <c r="Q71" s="140"/>
      <c r="R71" s="140"/>
      <c r="S71" s="140"/>
      <c r="T71" s="140"/>
    </row>
    <row r="72" spans="1:20" ht="102" customHeight="1" x14ac:dyDescent="0.2">
      <c r="A72" s="145"/>
      <c r="B72" s="267"/>
      <c r="C72" s="259"/>
      <c r="D72" s="132" t="s">
        <v>100</v>
      </c>
      <c r="E72" s="172">
        <v>24952</v>
      </c>
      <c r="F72" s="171">
        <v>6</v>
      </c>
      <c r="G72" s="172">
        <v>280</v>
      </c>
      <c r="H72" s="172">
        <v>0</v>
      </c>
      <c r="I72" s="171">
        <v>0</v>
      </c>
      <c r="J72" s="172">
        <v>0</v>
      </c>
      <c r="K72" s="192" t="s">
        <v>355</v>
      </c>
      <c r="L72" s="140"/>
      <c r="M72" s="140"/>
      <c r="N72" s="140"/>
      <c r="O72" s="140"/>
      <c r="P72" s="140"/>
      <c r="Q72" s="140"/>
      <c r="R72" s="140"/>
      <c r="S72" s="140"/>
      <c r="T72" s="140"/>
    </row>
    <row r="73" spans="1:20" ht="62.25" customHeight="1" x14ac:dyDescent="0.2">
      <c r="A73" s="145"/>
      <c r="B73" s="267"/>
      <c r="C73" s="259"/>
      <c r="D73" s="132" t="s">
        <v>102</v>
      </c>
      <c r="E73" s="172">
        <v>15923</v>
      </c>
      <c r="F73" s="171">
        <v>1</v>
      </c>
      <c r="G73" s="172">
        <v>160</v>
      </c>
      <c r="H73" s="172">
        <v>0</v>
      </c>
      <c r="I73" s="171">
        <v>0</v>
      </c>
      <c r="J73" s="172">
        <v>0</v>
      </c>
      <c r="K73" s="192" t="s">
        <v>323</v>
      </c>
      <c r="L73" s="140"/>
      <c r="M73" s="140"/>
      <c r="N73" s="140"/>
      <c r="O73" s="140"/>
      <c r="P73" s="140"/>
      <c r="Q73" s="140"/>
      <c r="R73" s="140"/>
      <c r="S73" s="140"/>
      <c r="T73" s="140"/>
    </row>
    <row r="74" spans="1:20" ht="37.5" x14ac:dyDescent="0.2">
      <c r="A74" s="145"/>
      <c r="B74" s="267"/>
      <c r="C74" s="259"/>
      <c r="D74" s="168" t="s">
        <v>103</v>
      </c>
      <c r="E74" s="138">
        <v>6995</v>
      </c>
      <c r="F74" s="139">
        <v>11</v>
      </c>
      <c r="G74" s="138">
        <v>96</v>
      </c>
      <c r="H74" s="133">
        <v>12342</v>
      </c>
      <c r="I74" s="133">
        <v>11</v>
      </c>
      <c r="J74" s="133">
        <v>125</v>
      </c>
      <c r="K74" s="192" t="s">
        <v>297</v>
      </c>
      <c r="L74" s="140"/>
      <c r="M74" s="140"/>
      <c r="N74" s="140"/>
      <c r="O74" s="140"/>
      <c r="P74" s="140"/>
      <c r="Q74" s="140"/>
      <c r="R74" s="140"/>
      <c r="S74" s="140"/>
      <c r="T74" s="140"/>
    </row>
    <row r="75" spans="1:20" ht="15.75" x14ac:dyDescent="0.2">
      <c r="A75" s="145"/>
      <c r="B75" s="267"/>
      <c r="C75" s="260"/>
      <c r="D75" s="170" t="s">
        <v>52</v>
      </c>
      <c r="E75" s="143">
        <f>SUM(E63:E74)</f>
        <v>144350</v>
      </c>
      <c r="F75" s="144">
        <f>SUM(F63:F74)</f>
        <v>54</v>
      </c>
      <c r="G75" s="143">
        <f>SUM(G63:G74)</f>
        <v>1708</v>
      </c>
      <c r="H75" s="143">
        <f t="shared" ref="H75:J75" si="13">SUM(H63:H74)</f>
        <v>100062</v>
      </c>
      <c r="I75" s="144">
        <f t="shared" si="13"/>
        <v>51</v>
      </c>
      <c r="J75" s="143">
        <f t="shared" si="13"/>
        <v>1373</v>
      </c>
      <c r="K75" s="192"/>
      <c r="L75" s="140"/>
      <c r="M75" s="140"/>
      <c r="N75" s="140"/>
      <c r="O75" s="140"/>
      <c r="P75" s="140"/>
      <c r="Q75" s="140"/>
      <c r="R75" s="140"/>
      <c r="S75" s="140"/>
      <c r="T75" s="140"/>
    </row>
    <row r="76" spans="1:20" ht="25.5" x14ac:dyDescent="0.2">
      <c r="A76" s="145"/>
      <c r="B76" s="267"/>
      <c r="C76" s="269" t="s">
        <v>104</v>
      </c>
      <c r="D76" s="168" t="s">
        <v>105</v>
      </c>
      <c r="E76" s="138">
        <v>11763</v>
      </c>
      <c r="F76" s="139">
        <v>17</v>
      </c>
      <c r="G76" s="138">
        <v>151</v>
      </c>
      <c r="H76" s="133">
        <f t="shared" si="1"/>
        <v>0</v>
      </c>
      <c r="I76" s="133">
        <f t="shared" si="1"/>
        <v>0</v>
      </c>
      <c r="J76" s="133">
        <f t="shared" si="1"/>
        <v>0</v>
      </c>
      <c r="K76" s="192" t="s">
        <v>301</v>
      </c>
      <c r="L76" s="140"/>
      <c r="M76" s="140"/>
      <c r="N76" s="140"/>
      <c r="O76" s="140"/>
      <c r="P76" s="140"/>
      <c r="Q76" s="140"/>
      <c r="R76" s="140">
        <v>11763</v>
      </c>
      <c r="S76" s="140">
        <v>17</v>
      </c>
      <c r="T76" s="140">
        <v>151</v>
      </c>
    </row>
    <row r="77" spans="1:20" ht="49.5" x14ac:dyDescent="0.2">
      <c r="A77" s="145"/>
      <c r="B77" s="267"/>
      <c r="C77" s="259"/>
      <c r="D77" s="193" t="s">
        <v>253</v>
      </c>
      <c r="E77" s="139">
        <v>0</v>
      </c>
      <c r="F77" s="139">
        <v>0</v>
      </c>
      <c r="G77" s="139">
        <v>0</v>
      </c>
      <c r="H77" s="133">
        <f>3600+3352</f>
        <v>6952</v>
      </c>
      <c r="I77" s="133">
        <f>2+6</f>
        <v>8</v>
      </c>
      <c r="J77" s="133">
        <f>72+82</f>
        <v>154</v>
      </c>
      <c r="K77" s="192" t="s">
        <v>345</v>
      </c>
      <c r="L77" s="140"/>
      <c r="M77" s="140"/>
      <c r="N77" s="140"/>
      <c r="O77" s="140"/>
      <c r="P77" s="140"/>
      <c r="Q77" s="140"/>
      <c r="R77" s="140"/>
      <c r="S77" s="140"/>
      <c r="T77" s="140"/>
    </row>
    <row r="78" spans="1:20" ht="37.5" x14ac:dyDescent="0.2">
      <c r="A78" s="145"/>
      <c r="B78" s="267"/>
      <c r="C78" s="259"/>
      <c r="D78" s="168" t="s">
        <v>106</v>
      </c>
      <c r="E78" s="138">
        <v>6967</v>
      </c>
      <c r="F78" s="139">
        <v>11</v>
      </c>
      <c r="G78" s="138">
        <v>157</v>
      </c>
      <c r="H78" s="133">
        <f>E78-(L78+O78+R78)+19</f>
        <v>3979</v>
      </c>
      <c r="I78" s="133">
        <f>F78-(M78+P78+S78)+1</f>
        <v>6</v>
      </c>
      <c r="J78" s="133">
        <f>G78-(N78+Q78+T78)+1</f>
        <v>76</v>
      </c>
      <c r="K78" s="192" t="s">
        <v>298</v>
      </c>
      <c r="L78" s="140"/>
      <c r="M78" s="140"/>
      <c r="N78" s="140"/>
      <c r="O78" s="140">
        <v>301</v>
      </c>
      <c r="P78" s="140">
        <v>0</v>
      </c>
      <c r="Q78" s="140">
        <v>2</v>
      </c>
      <c r="R78" s="140">
        <v>2706</v>
      </c>
      <c r="S78" s="140">
        <v>6</v>
      </c>
      <c r="T78" s="140">
        <v>80</v>
      </c>
    </row>
    <row r="79" spans="1:20" ht="25.5" x14ac:dyDescent="0.2">
      <c r="A79" s="145"/>
      <c r="B79" s="267"/>
      <c r="C79" s="259"/>
      <c r="D79" s="168" t="s">
        <v>107</v>
      </c>
      <c r="E79" s="138">
        <v>6206</v>
      </c>
      <c r="F79" s="139">
        <v>5</v>
      </c>
      <c r="G79" s="138">
        <v>135</v>
      </c>
      <c r="H79" s="133">
        <f t="shared" si="1"/>
        <v>0</v>
      </c>
      <c r="I79" s="133">
        <f t="shared" si="1"/>
        <v>0</v>
      </c>
      <c r="J79" s="133">
        <f t="shared" si="1"/>
        <v>0</v>
      </c>
      <c r="K79" s="192" t="s">
        <v>299</v>
      </c>
      <c r="L79" s="140"/>
      <c r="M79" s="140"/>
      <c r="N79" s="140"/>
      <c r="O79" s="140"/>
      <c r="P79" s="140"/>
      <c r="Q79" s="140"/>
      <c r="R79" s="140">
        <v>6206</v>
      </c>
      <c r="S79" s="140">
        <v>5</v>
      </c>
      <c r="T79" s="140">
        <v>135</v>
      </c>
    </row>
    <row r="80" spans="1:20" ht="37.5" x14ac:dyDescent="0.2">
      <c r="A80" s="145"/>
      <c r="B80" s="267"/>
      <c r="C80" s="259"/>
      <c r="D80" s="168" t="s">
        <v>108</v>
      </c>
      <c r="E80" s="138">
        <v>8035</v>
      </c>
      <c r="F80" s="139">
        <v>12</v>
      </c>
      <c r="G80" s="138">
        <v>177</v>
      </c>
      <c r="H80" s="133">
        <f>E80-(L80+O80+R80)-950</f>
        <v>5645</v>
      </c>
      <c r="I80" s="133">
        <f t="shared" si="1"/>
        <v>12</v>
      </c>
      <c r="J80" s="133">
        <f>G80-(N80+Q80+T80)-11</f>
        <v>121</v>
      </c>
      <c r="K80" s="192" t="s">
        <v>300</v>
      </c>
      <c r="L80" s="140"/>
      <c r="M80" s="140"/>
      <c r="N80" s="140"/>
      <c r="O80" s="140"/>
      <c r="P80" s="140"/>
      <c r="Q80" s="140"/>
      <c r="R80" s="140">
        <v>1440</v>
      </c>
      <c r="S80" s="140">
        <v>0</v>
      </c>
      <c r="T80" s="140">
        <v>45</v>
      </c>
    </row>
    <row r="81" spans="1:20" ht="25.5" x14ac:dyDescent="0.2">
      <c r="A81" s="145"/>
      <c r="B81" s="267"/>
      <c r="C81" s="259"/>
      <c r="D81" s="169" t="s">
        <v>91</v>
      </c>
      <c r="E81" s="139">
        <v>6456</v>
      </c>
      <c r="F81" s="139">
        <v>7</v>
      </c>
      <c r="G81" s="139">
        <v>184</v>
      </c>
      <c r="H81" s="133">
        <f>E81-(L81+O81+R81)-1800</f>
        <v>4656</v>
      </c>
      <c r="I81" s="133">
        <f>F81-(M81+P81+S81)-4</f>
        <v>3</v>
      </c>
      <c r="J81" s="133">
        <f>G81-(N81+Q81+T81)-44</f>
        <v>140</v>
      </c>
      <c r="K81" s="192" t="s">
        <v>346</v>
      </c>
      <c r="L81" s="140"/>
      <c r="M81" s="140"/>
      <c r="N81" s="140"/>
      <c r="O81" s="140"/>
      <c r="P81" s="140"/>
      <c r="Q81" s="140"/>
      <c r="R81" s="140"/>
      <c r="S81" s="140"/>
      <c r="T81" s="140"/>
    </row>
    <row r="82" spans="1:20" ht="49.5" x14ac:dyDescent="0.2">
      <c r="A82" s="145"/>
      <c r="B82" s="267"/>
      <c r="C82" s="259"/>
      <c r="D82" s="168" t="s">
        <v>109</v>
      </c>
      <c r="E82" s="138">
        <v>5270</v>
      </c>
      <c r="F82" s="139">
        <v>12</v>
      </c>
      <c r="G82" s="138">
        <v>114</v>
      </c>
      <c r="H82" s="133">
        <f>E82-(L82+O82+R82)-3352</f>
        <v>0</v>
      </c>
      <c r="I82" s="133">
        <f>F82-(M82+P82+S82)-6</f>
        <v>0</v>
      </c>
      <c r="J82" s="133">
        <f>G82-(N82+Q82+T82)-82</f>
        <v>0</v>
      </c>
      <c r="K82" s="192" t="s">
        <v>356</v>
      </c>
      <c r="L82" s="140"/>
      <c r="M82" s="140"/>
      <c r="N82" s="140"/>
      <c r="O82" s="140"/>
      <c r="P82" s="140"/>
      <c r="Q82" s="140"/>
      <c r="R82" s="140">
        <v>1918</v>
      </c>
      <c r="S82" s="140">
        <v>6</v>
      </c>
      <c r="T82" s="140">
        <v>32</v>
      </c>
    </row>
    <row r="83" spans="1:20" ht="15.75" x14ac:dyDescent="0.2">
      <c r="A83" s="145"/>
      <c r="B83" s="268"/>
      <c r="C83" s="260"/>
      <c r="D83" s="170" t="s">
        <v>52</v>
      </c>
      <c r="E83" s="143">
        <f>SUM(E76:E82)</f>
        <v>44697</v>
      </c>
      <c r="F83" s="144">
        <f>SUM(F76:F82)</f>
        <v>64</v>
      </c>
      <c r="G83" s="143">
        <f>SUM(G76:G82)</f>
        <v>918</v>
      </c>
      <c r="H83" s="143">
        <f t="shared" ref="H83:J83" si="14">SUM(H76:H82)</f>
        <v>21232</v>
      </c>
      <c r="I83" s="144">
        <f t="shared" si="14"/>
        <v>29</v>
      </c>
      <c r="J83" s="143">
        <f t="shared" si="14"/>
        <v>491</v>
      </c>
      <c r="K83" s="192"/>
      <c r="L83" s="140"/>
      <c r="M83" s="140"/>
      <c r="N83" s="140"/>
      <c r="O83" s="140"/>
      <c r="P83" s="140"/>
      <c r="Q83" s="140"/>
      <c r="R83" s="140"/>
      <c r="S83" s="140"/>
      <c r="T83" s="140"/>
    </row>
    <row r="84" spans="1:20" ht="15.75" x14ac:dyDescent="0.2">
      <c r="A84" s="145"/>
      <c r="B84" s="270" t="s">
        <v>110</v>
      </c>
      <c r="C84" s="270"/>
      <c r="D84" s="270"/>
      <c r="E84" s="173">
        <f t="shared" ref="E84:J84" si="15">E83+E75+E62+E54</f>
        <v>259924</v>
      </c>
      <c r="F84" s="173">
        <f t="shared" si="15"/>
        <v>153</v>
      </c>
      <c r="G84" s="173">
        <f t="shared" si="15"/>
        <v>3797</v>
      </c>
      <c r="H84" s="173">
        <f t="shared" si="15"/>
        <v>204170</v>
      </c>
      <c r="I84" s="173">
        <f t="shared" si="15"/>
        <v>145</v>
      </c>
      <c r="J84" s="173">
        <f t="shared" si="15"/>
        <v>3340</v>
      </c>
      <c r="K84" s="192"/>
      <c r="L84" s="140">
        <f t="shared" ref="L84:T84" si="16">SUM(L49:L83)</f>
        <v>0</v>
      </c>
      <c r="M84" s="140">
        <f t="shared" si="16"/>
        <v>0</v>
      </c>
      <c r="N84" s="140">
        <f t="shared" si="16"/>
        <v>0</v>
      </c>
      <c r="O84" s="140">
        <f t="shared" si="16"/>
        <v>1166</v>
      </c>
      <c r="P84" s="140">
        <f t="shared" si="16"/>
        <v>0</v>
      </c>
      <c r="Q84" s="140">
        <f t="shared" si="16"/>
        <v>13</v>
      </c>
      <c r="R84" s="140">
        <f t="shared" si="16"/>
        <v>24033</v>
      </c>
      <c r="S84" s="140">
        <f t="shared" si="16"/>
        <v>34</v>
      </c>
      <c r="T84" s="140">
        <f t="shared" si="16"/>
        <v>443</v>
      </c>
    </row>
    <row r="85" spans="1:20" ht="15.75" x14ac:dyDescent="0.2">
      <c r="A85" s="174"/>
      <c r="B85" s="175"/>
      <c r="C85" s="271" t="s">
        <v>255</v>
      </c>
      <c r="D85" s="272"/>
      <c r="E85" s="272"/>
      <c r="F85" s="272"/>
      <c r="G85" s="272"/>
      <c r="H85" s="272"/>
      <c r="I85" s="272"/>
      <c r="J85" s="273"/>
      <c r="K85" s="192"/>
      <c r="L85" s="176"/>
      <c r="M85" s="176"/>
      <c r="N85" s="176"/>
      <c r="O85" s="176"/>
      <c r="P85" s="176"/>
      <c r="Q85" s="176"/>
      <c r="R85" s="176"/>
      <c r="S85" s="176"/>
      <c r="T85" s="176"/>
    </row>
    <row r="86" spans="1:20" ht="49.5" x14ac:dyDescent="0.2">
      <c r="B86" s="274" t="s">
        <v>232</v>
      </c>
      <c r="C86" s="269" t="s">
        <v>278</v>
      </c>
      <c r="D86" s="132" t="s">
        <v>50</v>
      </c>
      <c r="E86" s="133">
        <v>0</v>
      </c>
      <c r="F86" s="135">
        <v>0</v>
      </c>
      <c r="G86" s="134">
        <v>0</v>
      </c>
      <c r="H86" s="133">
        <f>7109+937</f>
        <v>8046</v>
      </c>
      <c r="I86" s="133">
        <f>7</f>
        <v>7</v>
      </c>
      <c r="J86" s="133">
        <f>90+27</f>
        <v>117</v>
      </c>
      <c r="K86" s="192" t="s">
        <v>334</v>
      </c>
    </row>
    <row r="87" spans="1:20" ht="49.5" x14ac:dyDescent="0.2">
      <c r="B87" s="267"/>
      <c r="C87" s="259"/>
      <c r="D87" s="132" t="s">
        <v>69</v>
      </c>
      <c r="E87" s="138">
        <v>0</v>
      </c>
      <c r="F87" s="139">
        <v>0</v>
      </c>
      <c r="G87" s="134">
        <v>0</v>
      </c>
      <c r="H87" s="133">
        <v>10543</v>
      </c>
      <c r="I87" s="133">
        <v>2</v>
      </c>
      <c r="J87" s="133">
        <v>81</v>
      </c>
      <c r="K87" s="192" t="s">
        <v>335</v>
      </c>
    </row>
    <row r="88" spans="1:20" ht="61.5" x14ac:dyDescent="0.2">
      <c r="B88" s="267"/>
      <c r="C88" s="259"/>
      <c r="D88" s="132" t="s">
        <v>71</v>
      </c>
      <c r="E88" s="138">
        <v>0</v>
      </c>
      <c r="F88" s="139">
        <v>0</v>
      </c>
      <c r="G88" s="134">
        <v>0</v>
      </c>
      <c r="H88" s="133">
        <v>13435</v>
      </c>
      <c r="I88" s="133">
        <v>4</v>
      </c>
      <c r="J88" s="133">
        <v>208</v>
      </c>
      <c r="K88" s="192" t="s">
        <v>336</v>
      </c>
    </row>
    <row r="89" spans="1:20" ht="49.5" x14ac:dyDescent="0.2">
      <c r="B89" s="267"/>
      <c r="C89" s="259"/>
      <c r="D89" s="132" t="s">
        <v>73</v>
      </c>
      <c r="E89" s="138">
        <v>0</v>
      </c>
      <c r="F89" s="139">
        <v>0</v>
      </c>
      <c r="G89" s="134">
        <v>0</v>
      </c>
      <c r="H89" s="133">
        <v>7237</v>
      </c>
      <c r="I89" s="133">
        <v>0</v>
      </c>
      <c r="J89" s="133">
        <v>70</v>
      </c>
      <c r="K89" s="192" t="s">
        <v>310</v>
      </c>
    </row>
    <row r="90" spans="1:20" ht="25.5" x14ac:dyDescent="0.2">
      <c r="B90" s="267"/>
      <c r="C90" s="259"/>
      <c r="D90" s="132" t="s">
        <v>77</v>
      </c>
      <c r="E90" s="138">
        <v>0</v>
      </c>
      <c r="F90" s="139">
        <v>0</v>
      </c>
      <c r="G90" s="134">
        <v>0</v>
      </c>
      <c r="H90" s="133">
        <v>4265</v>
      </c>
      <c r="I90" s="133">
        <v>4</v>
      </c>
      <c r="J90" s="133">
        <v>115</v>
      </c>
      <c r="K90" s="192" t="s">
        <v>302</v>
      </c>
    </row>
    <row r="91" spans="1:20" ht="15.75" x14ac:dyDescent="0.2">
      <c r="B91" s="267"/>
      <c r="C91" s="260"/>
      <c r="D91" s="137" t="s">
        <v>52</v>
      </c>
      <c r="E91" s="143">
        <f t="shared" ref="E91:J91" si="17">SUM(E86:E90)</f>
        <v>0</v>
      </c>
      <c r="F91" s="144">
        <f t="shared" si="17"/>
        <v>0</v>
      </c>
      <c r="G91" s="143">
        <f t="shared" si="17"/>
        <v>0</v>
      </c>
      <c r="H91" s="143">
        <f t="shared" si="17"/>
        <v>43526</v>
      </c>
      <c r="I91" s="144">
        <f t="shared" si="17"/>
        <v>17</v>
      </c>
      <c r="J91" s="143">
        <f t="shared" si="17"/>
        <v>591</v>
      </c>
      <c r="K91" s="192"/>
    </row>
    <row r="92" spans="1:20" ht="37.5" x14ac:dyDescent="0.2">
      <c r="B92" s="267"/>
      <c r="C92" s="269" t="s">
        <v>218</v>
      </c>
      <c r="D92" s="132" t="s">
        <v>74</v>
      </c>
      <c r="E92" s="172">
        <v>0</v>
      </c>
      <c r="F92" s="171">
        <v>0</v>
      </c>
      <c r="G92" s="172">
        <v>0</v>
      </c>
      <c r="H92" s="172">
        <v>4418</v>
      </c>
      <c r="I92" s="171">
        <v>7</v>
      </c>
      <c r="J92" s="172">
        <v>111</v>
      </c>
      <c r="K92" s="192" t="s">
        <v>303</v>
      </c>
    </row>
    <row r="93" spans="1:20" ht="49.5" x14ac:dyDescent="0.2">
      <c r="B93" s="267"/>
      <c r="C93" s="259"/>
      <c r="D93" s="141" t="s">
        <v>75</v>
      </c>
      <c r="E93" s="171">
        <v>0</v>
      </c>
      <c r="F93" s="171">
        <v>0</v>
      </c>
      <c r="G93" s="171">
        <v>0</v>
      </c>
      <c r="H93" s="171">
        <v>5850</v>
      </c>
      <c r="I93" s="171">
        <v>1</v>
      </c>
      <c r="J93" s="171">
        <v>157</v>
      </c>
      <c r="K93" s="192" t="s">
        <v>305</v>
      </c>
    </row>
    <row r="94" spans="1:20" ht="52.5" customHeight="1" x14ac:dyDescent="0.2">
      <c r="B94" s="267"/>
      <c r="C94" s="259"/>
      <c r="D94" s="132" t="s">
        <v>76</v>
      </c>
      <c r="E94" s="172">
        <v>0</v>
      </c>
      <c r="F94" s="171">
        <v>0</v>
      </c>
      <c r="G94" s="172">
        <v>0</v>
      </c>
      <c r="H94" s="172">
        <v>7523</v>
      </c>
      <c r="I94" s="171">
        <v>2</v>
      </c>
      <c r="J94" s="172">
        <v>159</v>
      </c>
      <c r="K94" s="192" t="s">
        <v>320</v>
      </c>
    </row>
    <row r="95" spans="1:20" ht="37.5" x14ac:dyDescent="0.2">
      <c r="B95" s="267"/>
      <c r="C95" s="259"/>
      <c r="D95" s="141" t="s">
        <v>78</v>
      </c>
      <c r="E95" s="171">
        <v>0</v>
      </c>
      <c r="F95" s="171">
        <v>0</v>
      </c>
      <c r="G95" s="171">
        <v>0</v>
      </c>
      <c r="H95" s="171">
        <v>5731</v>
      </c>
      <c r="I95" s="171">
        <v>5</v>
      </c>
      <c r="J95" s="171">
        <v>107</v>
      </c>
      <c r="K95" s="192" t="s">
        <v>304</v>
      </c>
    </row>
    <row r="96" spans="1:20" ht="15.75" x14ac:dyDescent="0.2">
      <c r="B96" s="267"/>
      <c r="C96" s="260"/>
      <c r="D96" s="137" t="s">
        <v>365</v>
      </c>
      <c r="E96" s="178">
        <v>0</v>
      </c>
      <c r="F96" s="179">
        <v>0</v>
      </c>
      <c r="G96" s="178">
        <v>0</v>
      </c>
      <c r="H96" s="178">
        <f>SUM(H92:H95)</f>
        <v>23522</v>
      </c>
      <c r="I96" s="179">
        <f>SUM(I92:I95)</f>
        <v>15</v>
      </c>
      <c r="J96" s="178">
        <f>SUM(J92:J95)</f>
        <v>534</v>
      </c>
      <c r="K96" s="192"/>
    </row>
    <row r="97" spans="2:11" ht="49.5" x14ac:dyDescent="0.2">
      <c r="B97" s="267"/>
      <c r="C97" s="269" t="s">
        <v>256</v>
      </c>
      <c r="D97" s="132" t="s">
        <v>97</v>
      </c>
      <c r="E97" s="172">
        <v>0</v>
      </c>
      <c r="F97" s="171">
        <v>0</v>
      </c>
      <c r="G97" s="172">
        <v>0</v>
      </c>
      <c r="H97" s="172">
        <v>11517</v>
      </c>
      <c r="I97" s="171">
        <v>2</v>
      </c>
      <c r="J97" s="172">
        <v>160</v>
      </c>
      <c r="K97" s="192" t="s">
        <v>306</v>
      </c>
    </row>
    <row r="98" spans="2:11" ht="74.25" x14ac:dyDescent="0.2">
      <c r="B98" s="267"/>
      <c r="C98" s="259"/>
      <c r="D98" s="132" t="s">
        <v>98</v>
      </c>
      <c r="E98" s="172">
        <v>0</v>
      </c>
      <c r="F98" s="171">
        <v>0</v>
      </c>
      <c r="G98" s="172">
        <v>0</v>
      </c>
      <c r="H98" s="172">
        <v>11975</v>
      </c>
      <c r="I98" s="171">
        <v>7</v>
      </c>
      <c r="J98" s="172">
        <v>138</v>
      </c>
      <c r="K98" s="192" t="s">
        <v>324</v>
      </c>
    </row>
    <row r="99" spans="2:11" ht="98.25" x14ac:dyDescent="0.2">
      <c r="B99" s="267"/>
      <c r="C99" s="259"/>
      <c r="D99" s="132" t="s">
        <v>100</v>
      </c>
      <c r="E99" s="172">
        <v>0</v>
      </c>
      <c r="F99" s="171">
        <v>0</v>
      </c>
      <c r="G99" s="172">
        <v>0</v>
      </c>
      <c r="H99" s="172">
        <v>17652</v>
      </c>
      <c r="I99" s="171">
        <v>5</v>
      </c>
      <c r="J99" s="172">
        <v>220</v>
      </c>
      <c r="K99" s="192" t="s">
        <v>333</v>
      </c>
    </row>
    <row r="100" spans="2:11" ht="61.5" x14ac:dyDescent="0.2">
      <c r="B100" s="267"/>
      <c r="C100" s="259"/>
      <c r="D100" s="132" t="s">
        <v>102</v>
      </c>
      <c r="E100" s="172">
        <v>0</v>
      </c>
      <c r="F100" s="171">
        <v>0</v>
      </c>
      <c r="G100" s="172">
        <v>0</v>
      </c>
      <c r="H100" s="172">
        <v>17223</v>
      </c>
      <c r="I100" s="171">
        <v>1</v>
      </c>
      <c r="J100" s="172">
        <v>175</v>
      </c>
      <c r="K100" s="192" t="s">
        <v>325</v>
      </c>
    </row>
    <row r="101" spans="2:11" ht="15.75" x14ac:dyDescent="0.2">
      <c r="B101" s="267"/>
      <c r="C101" s="259"/>
      <c r="D101" s="137" t="s">
        <v>52</v>
      </c>
      <c r="E101" s="178">
        <f t="shared" ref="E101:J101" si="18">SUM(E97:E100)</f>
        <v>0</v>
      </c>
      <c r="F101" s="179">
        <f t="shared" si="18"/>
        <v>0</v>
      </c>
      <c r="G101" s="178">
        <f t="shared" si="18"/>
        <v>0</v>
      </c>
      <c r="H101" s="178">
        <f t="shared" si="18"/>
        <v>58367</v>
      </c>
      <c r="I101" s="179">
        <f t="shared" si="18"/>
        <v>15</v>
      </c>
      <c r="J101" s="178">
        <f t="shared" si="18"/>
        <v>693</v>
      </c>
      <c r="K101" s="187"/>
    </row>
    <row r="102" spans="2:11" ht="30" customHeight="1" x14ac:dyDescent="0.2">
      <c r="B102" s="145"/>
      <c r="C102" s="259" t="s">
        <v>233</v>
      </c>
      <c r="D102" s="132" t="s">
        <v>237</v>
      </c>
      <c r="E102" s="172">
        <v>0</v>
      </c>
      <c r="F102" s="171">
        <v>0</v>
      </c>
      <c r="G102" s="172">
        <v>0</v>
      </c>
      <c r="H102" s="172">
        <v>5514</v>
      </c>
      <c r="I102" s="171">
        <v>1</v>
      </c>
      <c r="J102" s="172">
        <v>93</v>
      </c>
      <c r="K102" s="187" t="s">
        <v>307</v>
      </c>
    </row>
    <row r="103" spans="2:11" ht="54.75" x14ac:dyDescent="0.2">
      <c r="B103" s="145"/>
      <c r="C103" s="259"/>
      <c r="D103" s="132" t="s">
        <v>235</v>
      </c>
      <c r="E103" s="172">
        <v>0</v>
      </c>
      <c r="F103" s="171">
        <v>0</v>
      </c>
      <c r="G103" s="172">
        <v>0</v>
      </c>
      <c r="H103" s="172">
        <f>3727+1865</f>
        <v>5592</v>
      </c>
      <c r="I103" s="171">
        <v>1</v>
      </c>
      <c r="J103" s="172">
        <f>75+21</f>
        <v>96</v>
      </c>
      <c r="K103" s="187" t="s">
        <v>315</v>
      </c>
    </row>
    <row r="104" spans="2:11" ht="54.75" x14ac:dyDescent="0.2">
      <c r="B104" s="145"/>
      <c r="C104" s="259"/>
      <c r="D104" s="132" t="s">
        <v>236</v>
      </c>
      <c r="E104" s="172">
        <v>0</v>
      </c>
      <c r="F104" s="171">
        <v>0</v>
      </c>
      <c r="G104" s="172">
        <v>0</v>
      </c>
      <c r="H104" s="172">
        <f>5680+664</f>
        <v>6344</v>
      </c>
      <c r="I104" s="171">
        <v>3</v>
      </c>
      <c r="J104" s="172">
        <f>89+13</f>
        <v>102</v>
      </c>
      <c r="K104" s="187" t="s">
        <v>316</v>
      </c>
    </row>
    <row r="105" spans="2:11" ht="114.75" customHeight="1" x14ac:dyDescent="0.2">
      <c r="B105" s="145"/>
      <c r="C105" s="259"/>
      <c r="D105" s="132" t="s">
        <v>234</v>
      </c>
      <c r="E105" s="172">
        <v>0</v>
      </c>
      <c r="F105" s="171">
        <v>0</v>
      </c>
      <c r="G105" s="172">
        <v>0</v>
      </c>
      <c r="H105" s="172">
        <f>10534+1288+202-1865-664</f>
        <v>9495</v>
      </c>
      <c r="I105" s="171">
        <v>3</v>
      </c>
      <c r="J105" s="172">
        <f>175+28+0-21-13</f>
        <v>169</v>
      </c>
      <c r="K105" s="187" t="s">
        <v>372</v>
      </c>
    </row>
    <row r="106" spans="2:11" ht="15.75" x14ac:dyDescent="0.2">
      <c r="B106" s="180"/>
      <c r="C106" s="260"/>
      <c r="D106" s="137" t="s">
        <v>52</v>
      </c>
      <c r="E106" s="178">
        <f>SUM(E102:E105)</f>
        <v>0</v>
      </c>
      <c r="F106" s="179">
        <f t="shared" ref="F106:J106" si="19">SUM(F102:F105)</f>
        <v>0</v>
      </c>
      <c r="G106" s="178">
        <f t="shared" si="19"/>
        <v>0</v>
      </c>
      <c r="H106" s="178">
        <f t="shared" si="19"/>
        <v>26945</v>
      </c>
      <c r="I106" s="179">
        <f t="shared" si="19"/>
        <v>8</v>
      </c>
      <c r="J106" s="178">
        <f t="shared" si="19"/>
        <v>460</v>
      </c>
      <c r="K106" s="187"/>
    </row>
    <row r="107" spans="2:11" ht="15.75" x14ac:dyDescent="0.2">
      <c r="B107" s="261" t="s">
        <v>244</v>
      </c>
      <c r="C107" s="261"/>
      <c r="D107" s="261"/>
      <c r="E107" s="173">
        <f t="shared" ref="E107:J107" si="20">E91+E96+E101+E106</f>
        <v>0</v>
      </c>
      <c r="F107" s="173">
        <f t="shared" si="20"/>
        <v>0</v>
      </c>
      <c r="G107" s="173">
        <f t="shared" si="20"/>
        <v>0</v>
      </c>
      <c r="H107" s="173">
        <f t="shared" si="20"/>
        <v>152360</v>
      </c>
      <c r="I107" s="173">
        <f t="shared" si="20"/>
        <v>55</v>
      </c>
      <c r="J107" s="173">
        <f t="shared" si="20"/>
        <v>2278</v>
      </c>
    </row>
    <row r="108" spans="2:11" ht="15.75" x14ac:dyDescent="0.2">
      <c r="B108" s="262" t="s">
        <v>245</v>
      </c>
      <c r="C108" s="262"/>
      <c r="D108" s="262"/>
      <c r="E108" s="143">
        <f t="shared" ref="E108:J108" si="21">SUM(E48,E84,E107)</f>
        <v>583295</v>
      </c>
      <c r="F108" s="144">
        <f t="shared" si="21"/>
        <v>342</v>
      </c>
      <c r="G108" s="143">
        <f t="shared" si="21"/>
        <v>8453</v>
      </c>
      <c r="H108" s="143">
        <f t="shared" si="21"/>
        <v>617707</v>
      </c>
      <c r="I108" s="144">
        <f t="shared" si="21"/>
        <v>357</v>
      </c>
      <c r="J108" s="143">
        <f t="shared" si="21"/>
        <v>9273</v>
      </c>
      <c r="K108" s="190"/>
    </row>
  </sheetData>
  <autoFilter ref="A4:K108" xr:uid="{00000000-0009-0000-0000-000005000000}">
    <filterColumn colId="4" showButton="0"/>
    <filterColumn colId="5" showButton="0"/>
    <filterColumn colId="7" showButton="0"/>
    <filterColumn colId="8" showButton="0"/>
  </autoFilter>
  <mergeCells count="36">
    <mergeCell ref="A2:T2"/>
    <mergeCell ref="A3:T3"/>
    <mergeCell ref="A4:A5"/>
    <mergeCell ref="B4:B5"/>
    <mergeCell ref="C4:C5"/>
    <mergeCell ref="D4:D5"/>
    <mergeCell ref="E4:G4"/>
    <mergeCell ref="H4:J4"/>
    <mergeCell ref="L4:N4"/>
    <mergeCell ref="O4:Q4"/>
    <mergeCell ref="R4:T4"/>
    <mergeCell ref="A6:A27"/>
    <mergeCell ref="B6:B27"/>
    <mergeCell ref="C6:C12"/>
    <mergeCell ref="C13:C18"/>
    <mergeCell ref="C19:C27"/>
    <mergeCell ref="C28:C36"/>
    <mergeCell ref="B33:B40"/>
    <mergeCell ref="B48:D48"/>
    <mergeCell ref="B49:B62"/>
    <mergeCell ref="C49:C54"/>
    <mergeCell ref="C55:C62"/>
    <mergeCell ref="C102:C106"/>
    <mergeCell ref="B107:D107"/>
    <mergeCell ref="B108:D108"/>
    <mergeCell ref="C37:C41"/>
    <mergeCell ref="C42:C46"/>
    <mergeCell ref="B63:B83"/>
    <mergeCell ref="C63:C75"/>
    <mergeCell ref="C76:C83"/>
    <mergeCell ref="B84:D84"/>
    <mergeCell ref="C85:J85"/>
    <mergeCell ref="B86:B101"/>
    <mergeCell ref="C86:C91"/>
    <mergeCell ref="C92:C96"/>
    <mergeCell ref="C97:C101"/>
  </mergeCells>
  <pageMargins left="0.77" right="0.18" top="0.75" bottom="0.75" header="0.3" footer="0.3"/>
  <pageSetup paperSize="9" scale="75"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view="pageBreakPreview" topLeftCell="A7" zoomScale="70" zoomScaleSheetLayoutView="70" workbookViewId="0">
      <selection activeCell="C6" sqref="C6"/>
    </sheetView>
  </sheetViews>
  <sheetFormatPr defaultRowHeight="30" customHeight="1" x14ac:dyDescent="0.2"/>
  <cols>
    <col min="1" max="1" width="11.8359375" customWidth="1"/>
    <col min="2" max="2" width="42.23828125" customWidth="1"/>
    <col min="3" max="5" width="26.90234375" customWidth="1"/>
    <col min="6" max="6" width="3.359375" customWidth="1"/>
    <col min="7" max="7" width="26.6328125" customWidth="1"/>
    <col min="8" max="8" width="34.16796875" customWidth="1"/>
  </cols>
  <sheetData>
    <row r="1" spans="1:8" ht="30" customHeight="1" x14ac:dyDescent="0.3">
      <c r="A1" s="299" t="s">
        <v>170</v>
      </c>
      <c r="B1" s="299"/>
      <c r="C1" s="299"/>
      <c r="D1" s="299"/>
      <c r="E1" s="299"/>
    </row>
    <row r="2" spans="1:8" ht="51" customHeight="1" x14ac:dyDescent="0.45">
      <c r="A2" s="300" t="s">
        <v>183</v>
      </c>
      <c r="B2" s="300"/>
      <c r="C2" s="300"/>
      <c r="D2" s="300"/>
      <c r="E2" s="300"/>
      <c r="F2" s="7"/>
      <c r="G2" s="202" t="s">
        <v>127</v>
      </c>
      <c r="H2" s="202"/>
    </row>
    <row r="3" spans="1:8" ht="183" customHeight="1" x14ac:dyDescent="0.3">
      <c r="A3" s="10" t="s">
        <v>17</v>
      </c>
      <c r="B3" s="10" t="s">
        <v>18</v>
      </c>
      <c r="C3" s="10" t="s">
        <v>27</v>
      </c>
      <c r="D3" s="10" t="s">
        <v>28</v>
      </c>
      <c r="E3" s="10" t="s">
        <v>29</v>
      </c>
      <c r="F3" s="10"/>
      <c r="G3" s="10" t="s">
        <v>40</v>
      </c>
      <c r="H3" s="10" t="s">
        <v>41</v>
      </c>
    </row>
    <row r="4" spans="1:8" ht="72.75" customHeight="1" x14ac:dyDescent="0.2">
      <c r="A4" s="5">
        <v>1</v>
      </c>
      <c r="B4" s="16" t="s">
        <v>124</v>
      </c>
      <c r="C4" s="11">
        <f>G4+H4</f>
        <v>247756</v>
      </c>
      <c r="D4" s="11">
        <f>'Annexure-V'!G34</f>
        <v>3112</v>
      </c>
      <c r="E4" s="5">
        <v>17</v>
      </c>
      <c r="F4" s="11"/>
      <c r="G4" s="57">
        <f>'Annexure-V'!E34</f>
        <v>247605</v>
      </c>
      <c r="H4" s="57">
        <f>'Annexure-V'!F34</f>
        <v>151</v>
      </c>
    </row>
    <row r="5" spans="1:8" ht="72.75" customHeight="1" x14ac:dyDescent="0.2">
      <c r="A5" s="5">
        <v>2</v>
      </c>
      <c r="B5" s="16" t="s">
        <v>125</v>
      </c>
      <c r="C5" s="11">
        <f>G5+H5</f>
        <v>188814</v>
      </c>
      <c r="D5" s="11">
        <f>'Annexure-V'!G65</f>
        <v>2961</v>
      </c>
      <c r="E5" s="5">
        <v>11</v>
      </c>
      <c r="F5" s="11"/>
      <c r="G5" s="57">
        <f>'Annexure-V'!E65</f>
        <v>188680</v>
      </c>
      <c r="H5" s="57">
        <f>'Annexure-V'!F65</f>
        <v>134</v>
      </c>
    </row>
    <row r="6" spans="1:8" ht="84" customHeight="1" x14ac:dyDescent="0.3">
      <c r="A6" s="5"/>
      <c r="B6" s="17" t="s">
        <v>126</v>
      </c>
      <c r="C6" s="12">
        <f>C4+C5</f>
        <v>436570</v>
      </c>
      <c r="D6" s="12">
        <f t="shared" ref="D6:E6" si="0">D4+D5</f>
        <v>6073</v>
      </c>
      <c r="E6" s="12">
        <f t="shared" si="0"/>
        <v>28</v>
      </c>
      <c r="F6" s="12"/>
      <c r="G6" s="58">
        <f>G4+G5</f>
        <v>436285</v>
      </c>
      <c r="H6" s="58">
        <f>H4+H5</f>
        <v>285</v>
      </c>
    </row>
    <row r="7" spans="1:8" ht="30" customHeight="1" x14ac:dyDescent="0.3">
      <c r="A7" s="299" t="s">
        <v>170</v>
      </c>
      <c r="B7" s="299"/>
      <c r="C7" s="299"/>
      <c r="D7" s="299"/>
      <c r="E7" s="299"/>
    </row>
    <row r="8" spans="1:8" ht="51" customHeight="1" x14ac:dyDescent="0.2">
      <c r="A8" s="300" t="s">
        <v>184</v>
      </c>
      <c r="B8" s="300"/>
      <c r="C8" s="300"/>
      <c r="D8" s="300"/>
      <c r="E8" s="300"/>
      <c r="F8" s="37"/>
    </row>
    <row r="9" spans="1:8" ht="164.25" customHeight="1" x14ac:dyDescent="0.3">
      <c r="A9" s="10" t="s">
        <v>17</v>
      </c>
      <c r="B9" s="10" t="s">
        <v>18</v>
      </c>
      <c r="C9" s="10" t="s">
        <v>27</v>
      </c>
      <c r="D9" s="10" t="s">
        <v>28</v>
      </c>
      <c r="E9" s="10" t="s">
        <v>29</v>
      </c>
    </row>
    <row r="10" spans="1:8" ht="76.5" customHeight="1" x14ac:dyDescent="0.2">
      <c r="A10" s="5">
        <v>1</v>
      </c>
      <c r="B10" s="16" t="s">
        <v>189</v>
      </c>
      <c r="C10" s="11">
        <f>C6</f>
        <v>436570</v>
      </c>
      <c r="D10" s="11">
        <f>D6</f>
        <v>6073</v>
      </c>
      <c r="E10" s="5">
        <f>E6</f>
        <v>28</v>
      </c>
    </row>
    <row r="11" spans="1:8" ht="76.5" customHeight="1" x14ac:dyDescent="0.3">
      <c r="A11" s="5">
        <v>2</v>
      </c>
      <c r="B11" s="16" t="s">
        <v>186</v>
      </c>
      <c r="C11" s="11">
        <f>'Annexure-II'!F10+'Annexure-II'!G10</f>
        <v>27665</v>
      </c>
      <c r="D11" s="11">
        <f>'Annexure-II'!H10</f>
        <v>510</v>
      </c>
      <c r="E11" s="5">
        <v>1</v>
      </c>
    </row>
    <row r="12" spans="1:8" ht="76.5" customHeight="1" x14ac:dyDescent="0.3">
      <c r="A12" s="5">
        <v>3</v>
      </c>
      <c r="B12" s="49" t="s">
        <v>187</v>
      </c>
      <c r="C12" s="50">
        <f>'Annexure-II'!F15+ 50</f>
        <v>62092</v>
      </c>
      <c r="D12" s="50">
        <f>'Annexure-II'!H15</f>
        <v>1330</v>
      </c>
      <c r="E12" s="5">
        <v>13</v>
      </c>
    </row>
    <row r="13" spans="1:8" ht="84" customHeight="1" x14ac:dyDescent="0.2">
      <c r="A13" s="302"/>
      <c r="B13" s="301" t="s">
        <v>185</v>
      </c>
      <c r="C13" s="12">
        <f>(C10-C11)+C12</f>
        <v>470997</v>
      </c>
      <c r="D13" s="303">
        <f>(D10-D11)+D12</f>
        <v>6893</v>
      </c>
      <c r="E13" s="303">
        <f>E10-E11+E12</f>
        <v>40</v>
      </c>
    </row>
    <row r="14" spans="1:8" ht="30" customHeight="1" x14ac:dyDescent="0.2">
      <c r="A14" s="302"/>
      <c r="B14" s="301"/>
      <c r="C14" s="12" t="s">
        <v>188</v>
      </c>
      <c r="D14" s="303"/>
      <c r="E14" s="303"/>
    </row>
  </sheetData>
  <mergeCells count="9">
    <mergeCell ref="G2:H2"/>
    <mergeCell ref="A1:E1"/>
    <mergeCell ref="A7:E7"/>
    <mergeCell ref="A8:E8"/>
    <mergeCell ref="B13:B14"/>
    <mergeCell ref="A13:A14"/>
    <mergeCell ref="D13:D14"/>
    <mergeCell ref="E13:E14"/>
    <mergeCell ref="A2:E2"/>
  </mergeCells>
  <pageMargins left="1.45" right="0.23" top="0.75" bottom="0.75" header="0.3" footer="0.3"/>
  <pageSetup paperSize="9" scale="57" orientation="landscape" r:id="rId1"/>
  <rowBreaks count="1" manualBreakCount="1">
    <brk id="6" max="7" man="1"/>
  </rowBreaks>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8"/>
  <sheetViews>
    <sheetView view="pageBreakPreview" zoomScale="78" zoomScaleSheetLayoutView="78" workbookViewId="0">
      <selection activeCell="F16" sqref="F16"/>
    </sheetView>
  </sheetViews>
  <sheetFormatPr defaultRowHeight="15" x14ac:dyDescent="0.2"/>
  <cols>
    <col min="1" max="1" width="5.51171875" customWidth="1"/>
    <col min="2" max="2" width="37.26171875" customWidth="1"/>
    <col min="3" max="3" width="6.58984375" customWidth="1"/>
    <col min="4" max="4" width="6.45703125" customWidth="1"/>
    <col min="5" max="5" width="7.6640625" customWidth="1"/>
    <col min="6" max="6" width="12.10546875" customWidth="1"/>
    <col min="7" max="7" width="9.55078125" customWidth="1"/>
    <col min="8" max="8" width="9.68359375" customWidth="1"/>
    <col min="9" max="16" width="7.6640625" customWidth="1"/>
    <col min="17" max="17" width="4.83984375" bestFit="1" customWidth="1"/>
    <col min="18" max="18" width="7.6640625" customWidth="1"/>
  </cols>
  <sheetData>
    <row r="1" spans="1:18" ht="25.5" customHeight="1" x14ac:dyDescent="0.25">
      <c r="A1" s="305"/>
      <c r="B1" s="305"/>
      <c r="C1" s="305"/>
      <c r="D1" s="305"/>
      <c r="E1" s="305"/>
      <c r="F1" s="305"/>
      <c r="G1" s="305"/>
      <c r="H1" s="305"/>
      <c r="I1" s="305"/>
      <c r="J1" s="305"/>
      <c r="K1" s="305"/>
      <c r="L1" s="305"/>
      <c r="M1" s="305"/>
      <c r="N1" s="305"/>
      <c r="O1" s="305"/>
      <c r="P1" s="305"/>
      <c r="Q1" s="305"/>
      <c r="R1" s="305"/>
    </row>
    <row r="2" spans="1:18" ht="27" customHeight="1" x14ac:dyDescent="0.2">
      <c r="A2" s="304" t="s">
        <v>37</v>
      </c>
      <c r="B2" s="304"/>
      <c r="C2" s="304"/>
      <c r="D2" s="304"/>
      <c r="E2" s="304"/>
      <c r="F2" s="304"/>
      <c r="G2" s="304"/>
      <c r="H2" s="304"/>
      <c r="I2" s="304"/>
      <c r="J2" s="304"/>
      <c r="K2" s="304"/>
      <c r="L2" s="304"/>
      <c r="M2" s="304"/>
      <c r="N2" s="304"/>
      <c r="O2" s="304"/>
      <c r="P2" s="304"/>
      <c r="Q2" s="304"/>
      <c r="R2" s="304"/>
    </row>
    <row r="3" spans="1:18" s="1" customFormat="1" ht="119.25" customHeight="1" x14ac:dyDescent="0.2">
      <c r="A3" s="18" t="s">
        <v>0</v>
      </c>
      <c r="B3" s="18" t="s">
        <v>1</v>
      </c>
      <c r="C3" s="19" t="s">
        <v>2</v>
      </c>
      <c r="D3" s="19" t="s">
        <v>3</v>
      </c>
      <c r="E3" s="19" t="s">
        <v>4</v>
      </c>
      <c r="F3" s="19" t="s">
        <v>5</v>
      </c>
      <c r="G3" s="19" t="s">
        <v>6</v>
      </c>
      <c r="H3" s="19" t="s">
        <v>7</v>
      </c>
      <c r="I3" s="19" t="s">
        <v>8</v>
      </c>
      <c r="J3" s="19" t="s">
        <v>9</v>
      </c>
      <c r="K3" s="19" t="s">
        <v>10</v>
      </c>
      <c r="L3" s="19" t="s">
        <v>43</v>
      </c>
      <c r="M3" s="19" t="s">
        <v>166</v>
      </c>
      <c r="N3" s="19" t="s">
        <v>42</v>
      </c>
      <c r="O3" s="19" t="s">
        <v>12</v>
      </c>
      <c r="P3" s="19" t="s">
        <v>181</v>
      </c>
      <c r="Q3" s="19" t="s">
        <v>182</v>
      </c>
      <c r="R3" s="19" t="s">
        <v>11</v>
      </c>
    </row>
    <row r="4" spans="1:18" s="1" customFormat="1" ht="37.5" customHeight="1" x14ac:dyDescent="0.2">
      <c r="A4" s="20"/>
      <c r="B4" s="39" t="s">
        <v>169</v>
      </c>
      <c r="C4" s="40">
        <v>2</v>
      </c>
      <c r="D4" s="41">
        <v>9</v>
      </c>
      <c r="E4" s="40">
        <v>56</v>
      </c>
      <c r="F4" s="40">
        <f>'Tirupur Annex-1'!C4</f>
        <v>618064</v>
      </c>
      <c r="G4" s="40">
        <f>'Annexure-I'!H6</f>
        <v>285</v>
      </c>
      <c r="H4" s="40">
        <f>'Tirupur Annex-1'!D4</f>
        <v>9267</v>
      </c>
      <c r="I4" s="40">
        <v>3</v>
      </c>
      <c r="J4" s="40">
        <v>2</v>
      </c>
      <c r="K4" s="40">
        <v>1</v>
      </c>
      <c r="L4" s="40">
        <v>1</v>
      </c>
      <c r="M4" s="40">
        <v>6</v>
      </c>
      <c r="N4" s="40">
        <v>10</v>
      </c>
      <c r="O4" s="40">
        <v>9</v>
      </c>
      <c r="P4" s="40">
        <v>0</v>
      </c>
      <c r="Q4" s="40">
        <v>0</v>
      </c>
      <c r="R4" s="40">
        <v>2</v>
      </c>
    </row>
    <row r="5" spans="1:18" s="1" customFormat="1" ht="37.5" customHeight="1" x14ac:dyDescent="0.2">
      <c r="A5" s="20"/>
      <c r="B5" s="42" t="s">
        <v>15</v>
      </c>
      <c r="C5" s="40">
        <f>C4</f>
        <v>2</v>
      </c>
      <c r="D5" s="40">
        <f t="shared" ref="D5:R5" si="0">D4</f>
        <v>9</v>
      </c>
      <c r="E5" s="40">
        <f t="shared" si="0"/>
        <v>56</v>
      </c>
      <c r="F5" s="40">
        <f t="shared" si="0"/>
        <v>618064</v>
      </c>
      <c r="G5" s="40">
        <f t="shared" si="0"/>
        <v>285</v>
      </c>
      <c r="H5" s="40">
        <f t="shared" si="0"/>
        <v>9267</v>
      </c>
      <c r="I5" s="40">
        <f t="shared" si="0"/>
        <v>3</v>
      </c>
      <c r="J5" s="40">
        <f t="shared" si="0"/>
        <v>2</v>
      </c>
      <c r="K5" s="40">
        <f t="shared" si="0"/>
        <v>1</v>
      </c>
      <c r="L5" s="40">
        <f t="shared" si="0"/>
        <v>1</v>
      </c>
      <c r="M5" s="40">
        <f t="shared" si="0"/>
        <v>6</v>
      </c>
      <c r="N5" s="40">
        <f t="shared" si="0"/>
        <v>10</v>
      </c>
      <c r="O5" s="40">
        <f t="shared" si="0"/>
        <v>9</v>
      </c>
      <c r="P5" s="40">
        <f t="shared" si="0"/>
        <v>0</v>
      </c>
      <c r="Q5" s="40">
        <f t="shared" si="0"/>
        <v>0</v>
      </c>
      <c r="R5" s="40">
        <f t="shared" si="0"/>
        <v>2</v>
      </c>
    </row>
    <row r="6" spans="1:18" s="1" customFormat="1" ht="37.5" customHeight="1" x14ac:dyDescent="0.2">
      <c r="A6" s="20"/>
      <c r="B6" s="42" t="s">
        <v>13</v>
      </c>
      <c r="C6" s="40"/>
      <c r="D6" s="40"/>
      <c r="E6" s="40"/>
      <c r="F6" s="40"/>
      <c r="G6" s="40"/>
      <c r="H6" s="40"/>
      <c r="I6" s="40"/>
      <c r="J6" s="40"/>
      <c r="K6" s="40"/>
      <c r="L6" s="40"/>
      <c r="M6" s="40"/>
      <c r="N6" s="40"/>
      <c r="O6" s="40"/>
      <c r="P6" s="40"/>
      <c r="Q6" s="40"/>
      <c r="R6" s="40"/>
    </row>
    <row r="7" spans="1:18" s="1" customFormat="1" ht="37.5" customHeight="1" x14ac:dyDescent="0.2">
      <c r="A7" s="20">
        <v>1</v>
      </c>
      <c r="B7" s="39" t="s">
        <v>180</v>
      </c>
      <c r="C7" s="40">
        <v>0</v>
      </c>
      <c r="D7" s="40">
        <v>0</v>
      </c>
      <c r="E7" s="40">
        <v>2</v>
      </c>
      <c r="F7" s="40">
        <f>'Tirupur Annexure-III'!F7</f>
        <v>24033</v>
      </c>
      <c r="G7" s="40">
        <f>'Tirupur Annexure-III'!G7</f>
        <v>34</v>
      </c>
      <c r="H7" s="40">
        <f>'Tirupur Annexure-III'!H7</f>
        <v>443</v>
      </c>
      <c r="I7" s="40">
        <v>0</v>
      </c>
      <c r="J7" s="40">
        <v>0</v>
      </c>
      <c r="K7" s="40">
        <v>0</v>
      </c>
      <c r="L7" s="40">
        <v>1</v>
      </c>
      <c r="M7" s="40">
        <v>0</v>
      </c>
      <c r="N7" s="40">
        <v>0</v>
      </c>
      <c r="O7" s="40">
        <v>0</v>
      </c>
      <c r="P7" s="40">
        <v>0</v>
      </c>
      <c r="Q7" s="40">
        <v>0</v>
      </c>
      <c r="R7" s="40">
        <v>0</v>
      </c>
    </row>
    <row r="8" spans="1:18" s="1" customFormat="1" ht="37.5" customHeight="1" x14ac:dyDescent="0.2">
      <c r="A8" s="20">
        <v>2</v>
      </c>
      <c r="B8" s="39" t="s">
        <v>178</v>
      </c>
      <c r="C8" s="40">
        <v>0</v>
      </c>
      <c r="D8" s="40">
        <v>0</v>
      </c>
      <c r="E8" s="40">
        <v>0</v>
      </c>
      <c r="F8" s="40">
        <f>'Tirupur Annexure-III'!F8</f>
        <v>1166</v>
      </c>
      <c r="G8" s="40">
        <f>'Tirupur Annexure-III'!G8</f>
        <v>0</v>
      </c>
      <c r="H8" s="43">
        <f>'Tirupur Annexure-III'!H8</f>
        <v>13</v>
      </c>
      <c r="I8" s="40">
        <v>0</v>
      </c>
      <c r="J8" s="40">
        <v>0</v>
      </c>
      <c r="K8" s="40">
        <v>0</v>
      </c>
      <c r="L8" s="40">
        <v>0</v>
      </c>
      <c r="M8" s="40">
        <v>0</v>
      </c>
      <c r="N8" s="40">
        <v>0</v>
      </c>
      <c r="O8" s="40">
        <v>0</v>
      </c>
      <c r="P8" s="40">
        <v>0</v>
      </c>
      <c r="Q8" s="40">
        <v>0</v>
      </c>
      <c r="R8" s="40">
        <v>0</v>
      </c>
    </row>
    <row r="9" spans="1:18" s="1" customFormat="1" ht="37.5" customHeight="1" x14ac:dyDescent="0.2">
      <c r="A9" s="20">
        <v>3</v>
      </c>
      <c r="B9" s="39" t="s">
        <v>179</v>
      </c>
      <c r="C9" s="40">
        <v>0</v>
      </c>
      <c r="D9" s="40">
        <v>0</v>
      </c>
      <c r="E9" s="40">
        <v>0</v>
      </c>
      <c r="F9" s="40">
        <f>'Tirupur Annexure-III'!F9</f>
        <v>2431</v>
      </c>
      <c r="G9" s="40">
        <f>'Tirupur Annexure-III'!G9</f>
        <v>1</v>
      </c>
      <c r="H9" s="43">
        <f>'Tirupur Annexure-III'!H9</f>
        <v>54</v>
      </c>
      <c r="I9" s="40">
        <v>0</v>
      </c>
      <c r="J9" s="40">
        <v>0</v>
      </c>
      <c r="K9" s="40">
        <v>0</v>
      </c>
      <c r="L9" s="40">
        <v>0</v>
      </c>
      <c r="M9" s="40">
        <v>0</v>
      </c>
      <c r="N9" s="40">
        <v>0</v>
      </c>
      <c r="O9" s="40">
        <v>0</v>
      </c>
      <c r="P9" s="40">
        <v>0</v>
      </c>
      <c r="Q9" s="40">
        <v>0</v>
      </c>
      <c r="R9" s="40">
        <v>0</v>
      </c>
    </row>
    <row r="10" spans="1:18" s="6" customFormat="1" ht="37.5" customHeight="1" x14ac:dyDescent="0.2">
      <c r="A10" s="20"/>
      <c r="B10" s="44" t="s">
        <v>35</v>
      </c>
      <c r="C10" s="45">
        <f>SUM(C7:C9)</f>
        <v>0</v>
      </c>
      <c r="D10" s="45">
        <f t="shared" ref="D10:R10" si="1">SUM(D7:D9)</f>
        <v>0</v>
      </c>
      <c r="E10" s="45">
        <f t="shared" si="1"/>
        <v>2</v>
      </c>
      <c r="F10" s="45">
        <f>SUM(F7:F9)</f>
        <v>27630</v>
      </c>
      <c r="G10" s="45">
        <f t="shared" si="1"/>
        <v>35</v>
      </c>
      <c r="H10" s="45">
        <f t="shared" si="1"/>
        <v>510</v>
      </c>
      <c r="I10" s="45">
        <f t="shared" si="1"/>
        <v>0</v>
      </c>
      <c r="J10" s="45">
        <f t="shared" si="1"/>
        <v>0</v>
      </c>
      <c r="K10" s="45">
        <f t="shared" si="1"/>
        <v>0</v>
      </c>
      <c r="L10" s="45">
        <f t="shared" si="1"/>
        <v>1</v>
      </c>
      <c r="M10" s="45">
        <v>0</v>
      </c>
      <c r="N10" s="45">
        <f t="shared" si="1"/>
        <v>0</v>
      </c>
      <c r="O10" s="45">
        <f t="shared" si="1"/>
        <v>0</v>
      </c>
      <c r="P10" s="45">
        <f t="shared" si="1"/>
        <v>0</v>
      </c>
      <c r="Q10" s="45">
        <f t="shared" si="1"/>
        <v>0</v>
      </c>
      <c r="R10" s="45">
        <f t="shared" si="1"/>
        <v>0</v>
      </c>
    </row>
    <row r="11" spans="1:18" s="6" customFormat="1" ht="37.5" customHeight="1" x14ac:dyDescent="0.2">
      <c r="A11" s="20"/>
      <c r="B11" s="46" t="s">
        <v>146</v>
      </c>
      <c r="C11" s="45"/>
      <c r="D11" s="45"/>
      <c r="E11" s="45"/>
      <c r="F11" s="45"/>
      <c r="G11" s="45"/>
      <c r="H11" s="45"/>
      <c r="I11" s="45"/>
      <c r="J11" s="45"/>
      <c r="K11" s="45"/>
      <c r="L11" s="45"/>
      <c r="M11" s="45"/>
      <c r="N11" s="45"/>
      <c r="O11" s="45"/>
      <c r="P11" s="45"/>
      <c r="Q11" s="45"/>
      <c r="R11" s="45"/>
    </row>
    <row r="12" spans="1:18" s="6" customFormat="1" ht="37.5" customHeight="1" x14ac:dyDescent="0.2">
      <c r="A12" s="20">
        <v>1</v>
      </c>
      <c r="B12" s="47" t="s">
        <v>143</v>
      </c>
      <c r="C12" s="40">
        <v>0</v>
      </c>
      <c r="D12" s="40">
        <v>0</v>
      </c>
      <c r="E12" s="40">
        <v>5</v>
      </c>
      <c r="F12" s="48">
        <f>'Annexure-IV TR FROM OTHER EDC '!F11</f>
        <v>34927</v>
      </c>
      <c r="G12" s="48" t="str">
        <f>'Annexure-IV TR FROM OTHER EDC '!G11</f>
        <v>41 + (1EHT)</v>
      </c>
      <c r="H12" s="48">
        <f>'Annexure-IV TR FROM OTHER EDC '!H11</f>
        <v>865</v>
      </c>
      <c r="I12" s="40">
        <v>0</v>
      </c>
      <c r="J12" s="40">
        <v>0</v>
      </c>
      <c r="K12" s="40">
        <v>0</v>
      </c>
      <c r="L12" s="40">
        <v>0</v>
      </c>
      <c r="M12" s="40">
        <v>2</v>
      </c>
      <c r="N12" s="40">
        <v>1</v>
      </c>
      <c r="O12" s="40">
        <v>2</v>
      </c>
      <c r="P12" s="40">
        <v>1</v>
      </c>
      <c r="Q12" s="40">
        <v>3</v>
      </c>
      <c r="R12" s="40">
        <v>0</v>
      </c>
    </row>
    <row r="13" spans="1:18" s="6" customFormat="1" ht="37.5" customHeight="1" x14ac:dyDescent="0.2">
      <c r="A13" s="20">
        <v>2</v>
      </c>
      <c r="B13" s="47" t="s">
        <v>144</v>
      </c>
      <c r="C13" s="40">
        <v>0</v>
      </c>
      <c r="D13" s="40">
        <v>0</v>
      </c>
      <c r="E13" s="40">
        <v>0</v>
      </c>
      <c r="F13" s="48">
        <f>'Annexure-IV TR FROM OTHER EDC '!F18</f>
        <v>1660</v>
      </c>
      <c r="G13" s="48">
        <f>'Annexure-IV TR FROM OTHER EDC '!G18</f>
        <v>1</v>
      </c>
      <c r="H13" s="48">
        <f>'Annexure-IV TR FROM OTHER EDC '!H18</f>
        <v>33</v>
      </c>
      <c r="I13" s="40">
        <v>0</v>
      </c>
      <c r="J13" s="40">
        <v>0</v>
      </c>
      <c r="K13" s="40">
        <v>0</v>
      </c>
      <c r="L13" s="40">
        <v>0</v>
      </c>
      <c r="M13" s="40">
        <v>0</v>
      </c>
      <c r="N13" s="40">
        <v>0</v>
      </c>
      <c r="O13" s="40">
        <v>0</v>
      </c>
      <c r="P13" s="40">
        <v>0</v>
      </c>
      <c r="Q13" s="40">
        <v>0</v>
      </c>
      <c r="R13" s="40">
        <v>0</v>
      </c>
    </row>
    <row r="14" spans="1:18" s="6" customFormat="1" ht="37.5" customHeight="1" x14ac:dyDescent="0.2">
      <c r="A14" s="20">
        <v>3</v>
      </c>
      <c r="B14" s="47" t="s">
        <v>145</v>
      </c>
      <c r="C14" s="40">
        <v>0</v>
      </c>
      <c r="D14" s="40">
        <v>1</v>
      </c>
      <c r="E14" s="40">
        <v>4</v>
      </c>
      <c r="F14" s="48">
        <f>'Annexure-IV TR FROM OTHER EDC '!F25</f>
        <v>25455</v>
      </c>
      <c r="G14" s="40">
        <f>'Annexure-IV TR FROM OTHER EDC '!G25</f>
        <v>8</v>
      </c>
      <c r="H14" s="40">
        <f>'Annexure-IV TR FROM OTHER EDC '!H25</f>
        <v>432</v>
      </c>
      <c r="I14" s="40">
        <v>0</v>
      </c>
      <c r="J14" s="40">
        <v>0</v>
      </c>
      <c r="K14" s="40">
        <v>0</v>
      </c>
      <c r="L14" s="40">
        <v>0</v>
      </c>
      <c r="M14" s="40">
        <v>1</v>
      </c>
      <c r="N14" s="40">
        <v>1</v>
      </c>
      <c r="O14" s="40">
        <v>2</v>
      </c>
      <c r="P14" s="40">
        <v>0</v>
      </c>
      <c r="Q14" s="40">
        <v>0</v>
      </c>
      <c r="R14" s="40">
        <v>0</v>
      </c>
    </row>
    <row r="15" spans="1:18" s="6" customFormat="1" ht="37.5" customHeight="1" x14ac:dyDescent="0.2">
      <c r="A15" s="20"/>
      <c r="B15" s="44" t="s">
        <v>142</v>
      </c>
      <c r="C15" s="45">
        <f>SUM(C12:C14)</f>
        <v>0</v>
      </c>
      <c r="D15" s="45">
        <f t="shared" ref="D15:R15" si="2">SUM(D12:D14)</f>
        <v>1</v>
      </c>
      <c r="E15" s="45">
        <f t="shared" si="2"/>
        <v>9</v>
      </c>
      <c r="F15" s="45">
        <f t="shared" si="2"/>
        <v>62042</v>
      </c>
      <c r="G15" s="45" t="s">
        <v>167</v>
      </c>
      <c r="H15" s="45">
        <f t="shared" si="2"/>
        <v>1330</v>
      </c>
      <c r="I15" s="45">
        <f t="shared" si="2"/>
        <v>0</v>
      </c>
      <c r="J15" s="45">
        <f t="shared" si="2"/>
        <v>0</v>
      </c>
      <c r="K15" s="45">
        <f t="shared" si="2"/>
        <v>0</v>
      </c>
      <c r="L15" s="45">
        <f t="shared" si="2"/>
        <v>0</v>
      </c>
      <c r="M15" s="45">
        <f t="shared" si="2"/>
        <v>3</v>
      </c>
      <c r="N15" s="45">
        <f t="shared" si="2"/>
        <v>2</v>
      </c>
      <c r="O15" s="45">
        <f t="shared" si="2"/>
        <v>4</v>
      </c>
      <c r="P15" s="45">
        <f t="shared" si="2"/>
        <v>1</v>
      </c>
      <c r="Q15" s="45">
        <f t="shared" si="2"/>
        <v>3</v>
      </c>
      <c r="R15" s="45">
        <f t="shared" si="2"/>
        <v>0</v>
      </c>
    </row>
    <row r="16" spans="1:18" s="6" customFormat="1" ht="37.5" customHeight="1" x14ac:dyDescent="0.2">
      <c r="A16" s="20"/>
      <c r="B16" s="44" t="s">
        <v>16</v>
      </c>
      <c r="C16" s="45">
        <f>C5-C10+C15</f>
        <v>2</v>
      </c>
      <c r="D16" s="45">
        <f t="shared" ref="D16:R16" si="3">D5-D10+D15</f>
        <v>10</v>
      </c>
      <c r="E16" s="45">
        <f t="shared" si="3"/>
        <v>63</v>
      </c>
      <c r="F16" s="45">
        <f t="shared" si="3"/>
        <v>652476</v>
      </c>
      <c r="G16" s="45" t="s">
        <v>168</v>
      </c>
      <c r="H16" s="45">
        <f t="shared" si="3"/>
        <v>10087</v>
      </c>
      <c r="I16" s="45">
        <f t="shared" si="3"/>
        <v>3</v>
      </c>
      <c r="J16" s="45">
        <f t="shared" si="3"/>
        <v>2</v>
      </c>
      <c r="K16" s="45">
        <f t="shared" si="3"/>
        <v>1</v>
      </c>
      <c r="L16" s="45">
        <f t="shared" si="3"/>
        <v>0</v>
      </c>
      <c r="M16" s="45">
        <f t="shared" si="3"/>
        <v>9</v>
      </c>
      <c r="N16" s="45">
        <f t="shared" si="3"/>
        <v>12</v>
      </c>
      <c r="O16" s="45">
        <f t="shared" si="3"/>
        <v>13</v>
      </c>
      <c r="P16" s="45">
        <f t="shared" si="3"/>
        <v>1</v>
      </c>
      <c r="Q16" s="45">
        <f t="shared" si="3"/>
        <v>3</v>
      </c>
      <c r="R16" s="45">
        <f t="shared" si="3"/>
        <v>2</v>
      </c>
    </row>
    <row r="17" spans="1:6" x14ac:dyDescent="0.2">
      <c r="F17">
        <f>F16+357</f>
        <v>652833</v>
      </c>
    </row>
    <row r="18" spans="1:6" ht="18.75" x14ac:dyDescent="0.25">
      <c r="A18" s="2"/>
    </row>
  </sheetData>
  <mergeCells count="2">
    <mergeCell ref="A2:R2"/>
    <mergeCell ref="A1:R1"/>
  </mergeCells>
  <printOptions horizontalCentered="1" verticalCentered="1"/>
  <pageMargins left="0.7" right="0.7" top="0.5" bottom="0.5"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6"/>
  <sheetViews>
    <sheetView view="pageBreakPreview" topLeftCell="A88" zoomScale="90" zoomScaleSheetLayoutView="90" workbookViewId="0">
      <selection activeCell="K72" sqref="K72"/>
    </sheetView>
  </sheetViews>
  <sheetFormatPr defaultRowHeight="15" x14ac:dyDescent="0.2"/>
  <cols>
    <col min="1" max="1" width="7.80078125" customWidth="1"/>
    <col min="2" max="2" width="7.53125" customWidth="1"/>
    <col min="3" max="3" width="10.0859375" customWidth="1"/>
    <col min="4" max="4" width="31.74609375" customWidth="1"/>
    <col min="5" max="5" width="11.703125" style="15" bestFit="1" customWidth="1"/>
    <col min="6" max="7" width="9.55078125" style="15" bestFit="1" customWidth="1"/>
    <col min="8" max="8" width="11.703125" style="15" bestFit="1" customWidth="1"/>
    <col min="9" max="9" width="12.64453125" style="15" customWidth="1"/>
    <col min="10" max="10" width="7.93359375" style="15" customWidth="1"/>
    <col min="11" max="11" width="43.71875" customWidth="1"/>
    <col min="12" max="12" width="6.1875" hidden="1" customWidth="1"/>
    <col min="13" max="14" width="5.24609375" hidden="1" customWidth="1"/>
    <col min="15" max="15" width="6.9921875" hidden="1" customWidth="1"/>
    <col min="16" max="16" width="4.83984375" hidden="1" customWidth="1"/>
    <col min="17" max="17" width="4.4375" hidden="1" customWidth="1"/>
    <col min="18" max="18" width="7.12890625" hidden="1" customWidth="1"/>
    <col min="19" max="19" width="4.4375" hidden="1" customWidth="1"/>
    <col min="20" max="20" width="5.24609375" hidden="1" customWidth="1"/>
  </cols>
  <sheetData>
    <row r="1" spans="1:20" ht="26.45" customHeight="1" x14ac:dyDescent="0.2">
      <c r="A1" s="330" t="s">
        <v>191</v>
      </c>
      <c r="B1" s="331"/>
      <c r="C1" s="331"/>
      <c r="D1" s="331"/>
      <c r="E1" s="331"/>
      <c r="F1" s="331"/>
      <c r="G1" s="331"/>
      <c r="H1" s="331"/>
      <c r="I1" s="331"/>
      <c r="J1" s="331"/>
      <c r="K1" s="331"/>
      <c r="L1" s="331"/>
      <c r="M1" s="331"/>
      <c r="N1" s="331"/>
      <c r="O1" s="331"/>
      <c r="P1" s="331"/>
      <c r="Q1" s="331"/>
      <c r="R1" s="331"/>
      <c r="S1" s="331"/>
      <c r="T1" s="332"/>
    </row>
    <row r="2" spans="1:20" ht="35.25" customHeight="1" x14ac:dyDescent="0.2">
      <c r="A2" s="288" t="s">
        <v>215</v>
      </c>
      <c r="B2" s="333"/>
      <c r="C2" s="333"/>
      <c r="D2" s="333"/>
      <c r="E2" s="333"/>
      <c r="F2" s="333"/>
      <c r="G2" s="333"/>
      <c r="H2" s="333"/>
      <c r="I2" s="333"/>
      <c r="J2" s="333"/>
      <c r="K2" s="333"/>
      <c r="L2" s="333"/>
      <c r="M2" s="333"/>
      <c r="N2" s="333"/>
      <c r="O2" s="333"/>
      <c r="P2" s="333"/>
      <c r="Q2" s="333"/>
      <c r="R2" s="333"/>
      <c r="S2" s="333"/>
      <c r="T2" s="334"/>
    </row>
    <row r="3" spans="1:20" ht="60" customHeight="1" x14ac:dyDescent="0.2">
      <c r="A3" s="294" t="s">
        <v>30</v>
      </c>
      <c r="B3" s="294" t="s">
        <v>19</v>
      </c>
      <c r="C3" s="294" t="s">
        <v>31</v>
      </c>
      <c r="D3" s="297" t="s">
        <v>21</v>
      </c>
      <c r="E3" s="297" t="s">
        <v>32</v>
      </c>
      <c r="F3" s="297"/>
      <c r="G3" s="297"/>
      <c r="H3" s="297" t="s">
        <v>33</v>
      </c>
      <c r="I3" s="297"/>
      <c r="J3" s="297"/>
      <c r="K3" s="101" t="s">
        <v>34</v>
      </c>
      <c r="L3" s="324" t="s">
        <v>174</v>
      </c>
      <c r="M3" s="324"/>
      <c r="N3" s="324"/>
      <c r="O3" s="324" t="s">
        <v>175</v>
      </c>
      <c r="P3" s="324"/>
      <c r="Q3" s="324"/>
      <c r="R3" s="324" t="s">
        <v>176</v>
      </c>
      <c r="S3" s="324"/>
      <c r="T3" s="324"/>
    </row>
    <row r="4" spans="1:20" ht="22.5" customHeight="1" x14ac:dyDescent="0.2">
      <c r="A4" s="295"/>
      <c r="B4" s="295"/>
      <c r="C4" s="295"/>
      <c r="D4" s="297"/>
      <c r="E4" s="101" t="s">
        <v>23</v>
      </c>
      <c r="F4" s="101" t="s">
        <v>24</v>
      </c>
      <c r="G4" s="101" t="s">
        <v>25</v>
      </c>
      <c r="H4" s="101" t="s">
        <v>23</v>
      </c>
      <c r="I4" s="101" t="s">
        <v>24</v>
      </c>
      <c r="J4" s="101" t="s">
        <v>25</v>
      </c>
      <c r="K4" s="102"/>
      <c r="L4" s="101" t="s">
        <v>23</v>
      </c>
      <c r="M4" s="101" t="s">
        <v>24</v>
      </c>
      <c r="N4" s="101" t="s">
        <v>25</v>
      </c>
      <c r="O4" s="101" t="s">
        <v>23</v>
      </c>
      <c r="P4" s="101" t="s">
        <v>24</v>
      </c>
      <c r="Q4" s="101" t="s">
        <v>25</v>
      </c>
      <c r="R4" s="101" t="s">
        <v>23</v>
      </c>
      <c r="S4" s="101" t="s">
        <v>24</v>
      </c>
      <c r="T4" s="101" t="s">
        <v>25</v>
      </c>
    </row>
    <row r="5" spans="1:20" ht="28.5" customHeight="1" x14ac:dyDescent="0.2">
      <c r="A5" s="274" t="s">
        <v>128</v>
      </c>
      <c r="B5" s="325" t="s">
        <v>129</v>
      </c>
      <c r="C5" s="327" t="s">
        <v>46</v>
      </c>
      <c r="D5" s="13" t="s">
        <v>47</v>
      </c>
      <c r="E5" s="9">
        <v>16558</v>
      </c>
      <c r="F5" s="9">
        <v>2</v>
      </c>
      <c r="G5" s="4">
        <v>154</v>
      </c>
      <c r="H5" s="9">
        <f>E5-(L5+O5+R5)</f>
        <v>16558</v>
      </c>
      <c r="I5" s="9">
        <f t="shared" ref="I5:J22" si="0">F5-(M5+P5+S5)</f>
        <v>2</v>
      </c>
      <c r="J5" s="9">
        <f t="shared" si="0"/>
        <v>154</v>
      </c>
      <c r="K5" s="75"/>
      <c r="L5" s="78"/>
      <c r="M5" s="9"/>
      <c r="N5" s="9"/>
      <c r="O5" s="78"/>
      <c r="P5" s="9"/>
      <c r="Q5" s="9"/>
      <c r="R5" s="78"/>
      <c r="S5" s="9"/>
      <c r="T5" s="9"/>
    </row>
    <row r="6" spans="1:20" ht="28.5" customHeight="1" x14ac:dyDescent="0.2">
      <c r="A6" s="267"/>
      <c r="B6" s="326"/>
      <c r="C6" s="328"/>
      <c r="D6" s="13" t="s">
        <v>48</v>
      </c>
      <c r="E6" s="9">
        <v>15224</v>
      </c>
      <c r="F6" s="9">
        <v>5</v>
      </c>
      <c r="G6" s="4">
        <v>164</v>
      </c>
      <c r="H6" s="9">
        <f t="shared" ref="H6:J68" si="1">E6-(L6+O6+R6)</f>
        <v>15224</v>
      </c>
      <c r="I6" s="9">
        <f t="shared" si="0"/>
        <v>5</v>
      </c>
      <c r="J6" s="9">
        <f t="shared" si="0"/>
        <v>164</v>
      </c>
      <c r="K6" s="75"/>
      <c r="L6" s="78"/>
      <c r="M6" s="9"/>
      <c r="N6" s="9"/>
      <c r="O6" s="78"/>
      <c r="P6" s="9"/>
      <c r="Q6" s="9"/>
      <c r="R6" s="78"/>
      <c r="S6" s="9"/>
      <c r="T6" s="9"/>
    </row>
    <row r="7" spans="1:20" ht="28.5" customHeight="1" x14ac:dyDescent="0.2">
      <c r="A7" s="267"/>
      <c r="B7" s="326"/>
      <c r="C7" s="328"/>
      <c r="D7" s="13" t="s">
        <v>49</v>
      </c>
      <c r="E7" s="9">
        <v>9466</v>
      </c>
      <c r="F7" s="8">
        <v>6</v>
      </c>
      <c r="G7" s="4">
        <v>72</v>
      </c>
      <c r="H7" s="9">
        <f t="shared" si="1"/>
        <v>9466</v>
      </c>
      <c r="I7" s="9">
        <f t="shared" si="0"/>
        <v>6</v>
      </c>
      <c r="J7" s="9">
        <f t="shared" si="0"/>
        <v>72</v>
      </c>
      <c r="K7" s="75"/>
      <c r="L7" s="78"/>
      <c r="M7" s="8"/>
      <c r="N7" s="9"/>
      <c r="O7" s="78"/>
      <c r="P7" s="8"/>
      <c r="Q7" s="9"/>
      <c r="R7" s="78"/>
      <c r="S7" s="8"/>
      <c r="T7" s="9"/>
    </row>
    <row r="8" spans="1:20" ht="40.15" customHeight="1" x14ac:dyDescent="0.2">
      <c r="A8" s="267"/>
      <c r="B8" s="326"/>
      <c r="C8" s="328"/>
      <c r="D8" s="13" t="s">
        <v>50</v>
      </c>
      <c r="E8" s="9">
        <v>7109</v>
      </c>
      <c r="F8" s="8">
        <v>7</v>
      </c>
      <c r="G8" s="4">
        <v>90</v>
      </c>
      <c r="H8" s="9">
        <v>0</v>
      </c>
      <c r="I8" s="9">
        <v>0</v>
      </c>
      <c r="J8" s="9">
        <v>0</v>
      </c>
      <c r="K8" s="76" t="s">
        <v>271</v>
      </c>
      <c r="L8" s="78"/>
      <c r="M8" s="8"/>
      <c r="N8" s="9"/>
      <c r="O8" s="78"/>
      <c r="P8" s="8"/>
      <c r="Q8" s="9"/>
      <c r="R8" s="78"/>
      <c r="S8" s="8"/>
      <c r="T8" s="9"/>
    </row>
    <row r="9" spans="1:20" ht="34.15" customHeight="1" x14ac:dyDescent="0.2">
      <c r="A9" s="267"/>
      <c r="B9" s="326"/>
      <c r="C9" s="328"/>
      <c r="D9" s="13" t="s">
        <v>51</v>
      </c>
      <c r="E9" s="9">
        <v>937</v>
      </c>
      <c r="F9" s="8">
        <v>0</v>
      </c>
      <c r="G9" s="4">
        <v>27</v>
      </c>
      <c r="H9" s="9">
        <v>0</v>
      </c>
      <c r="I9" s="9">
        <f t="shared" si="0"/>
        <v>0</v>
      </c>
      <c r="J9" s="9">
        <v>0</v>
      </c>
      <c r="K9" s="76" t="s">
        <v>199</v>
      </c>
      <c r="L9" s="78"/>
      <c r="M9" s="8"/>
      <c r="N9" s="9"/>
      <c r="O9" s="78"/>
      <c r="P9" s="8"/>
      <c r="Q9" s="9"/>
      <c r="R9" s="78"/>
      <c r="S9" s="8"/>
      <c r="T9" s="9"/>
    </row>
    <row r="10" spans="1:20" ht="42.6" customHeight="1" x14ac:dyDescent="0.2">
      <c r="A10" s="267"/>
      <c r="B10" s="326"/>
      <c r="C10" s="328"/>
      <c r="D10" s="13" t="s">
        <v>267</v>
      </c>
      <c r="E10" s="9">
        <v>0</v>
      </c>
      <c r="F10" s="8">
        <v>0</v>
      </c>
      <c r="G10" s="4">
        <v>0</v>
      </c>
      <c r="H10" s="9">
        <v>9249</v>
      </c>
      <c r="I10" s="9">
        <v>10</v>
      </c>
      <c r="J10" s="9">
        <v>155</v>
      </c>
      <c r="K10" s="125" t="s">
        <v>268</v>
      </c>
      <c r="L10" s="78"/>
      <c r="M10" s="8"/>
      <c r="N10" s="9"/>
      <c r="O10" s="78"/>
      <c r="P10" s="8"/>
      <c r="Q10" s="9"/>
      <c r="R10" s="78"/>
      <c r="S10" s="8"/>
      <c r="T10" s="9"/>
    </row>
    <row r="11" spans="1:20" ht="28.5" customHeight="1" x14ac:dyDescent="0.2">
      <c r="A11" s="267"/>
      <c r="B11" s="326"/>
      <c r="C11" s="329"/>
      <c r="D11" s="113" t="s">
        <v>52</v>
      </c>
      <c r="E11" s="114">
        <f>SUM(E5:E10)</f>
        <v>49294</v>
      </c>
      <c r="F11" s="114">
        <f>SUM(F5:F10)</f>
        <v>20</v>
      </c>
      <c r="G11" s="114">
        <f>SUM(G5:G10)</f>
        <v>507</v>
      </c>
      <c r="H11" s="114">
        <f>SUM(H5:H10)</f>
        <v>50497</v>
      </c>
      <c r="I11" s="114">
        <f t="shared" ref="I11:J11" si="2">SUM(I5:I10)</f>
        <v>23</v>
      </c>
      <c r="J11" s="114">
        <f t="shared" si="2"/>
        <v>545</v>
      </c>
      <c r="K11" s="125"/>
      <c r="L11" s="78"/>
      <c r="M11" s="8"/>
      <c r="N11" s="9"/>
      <c r="O11" s="78"/>
      <c r="P11" s="8"/>
      <c r="Q11" s="9"/>
      <c r="R11" s="78"/>
      <c r="S11" s="8"/>
      <c r="T11" s="9"/>
    </row>
    <row r="12" spans="1:20" ht="27.75" customHeight="1" x14ac:dyDescent="0.2">
      <c r="A12" s="267"/>
      <c r="B12" s="326"/>
      <c r="C12" s="327" t="s">
        <v>53</v>
      </c>
      <c r="D12" s="13" t="s">
        <v>54</v>
      </c>
      <c r="E12" s="9">
        <v>16281</v>
      </c>
      <c r="F12" s="8">
        <v>7</v>
      </c>
      <c r="G12" s="4">
        <v>188</v>
      </c>
      <c r="H12" s="9">
        <f t="shared" si="1"/>
        <v>16281</v>
      </c>
      <c r="I12" s="9">
        <f t="shared" si="0"/>
        <v>7</v>
      </c>
      <c r="J12" s="9">
        <f t="shared" si="0"/>
        <v>188</v>
      </c>
      <c r="K12" s="125"/>
      <c r="L12" s="78"/>
      <c r="M12" s="8"/>
      <c r="N12" s="9"/>
      <c r="O12" s="78"/>
      <c r="P12" s="8"/>
      <c r="Q12" s="9"/>
      <c r="R12" s="78"/>
      <c r="S12" s="8"/>
      <c r="T12" s="9"/>
    </row>
    <row r="13" spans="1:20" ht="27.75" customHeight="1" x14ac:dyDescent="0.2">
      <c r="A13" s="267"/>
      <c r="B13" s="326"/>
      <c r="C13" s="328"/>
      <c r="D13" s="13" t="s">
        <v>55</v>
      </c>
      <c r="E13" s="9">
        <v>18781</v>
      </c>
      <c r="F13" s="8">
        <v>7</v>
      </c>
      <c r="G13" s="4">
        <v>205</v>
      </c>
      <c r="H13" s="9">
        <f t="shared" si="1"/>
        <v>18781</v>
      </c>
      <c r="I13" s="9">
        <f t="shared" si="0"/>
        <v>7</v>
      </c>
      <c r="J13" s="9">
        <f t="shared" si="0"/>
        <v>205</v>
      </c>
      <c r="K13" s="125"/>
      <c r="L13" s="78"/>
      <c r="M13" s="8"/>
      <c r="N13" s="9"/>
      <c r="O13" s="78"/>
      <c r="P13" s="8"/>
      <c r="Q13" s="9"/>
      <c r="R13" s="78"/>
      <c r="S13" s="8"/>
      <c r="T13" s="9"/>
    </row>
    <row r="14" spans="1:20" ht="27.75" customHeight="1" x14ac:dyDescent="0.2">
      <c r="A14" s="267"/>
      <c r="B14" s="326"/>
      <c r="C14" s="328"/>
      <c r="D14" s="13" t="s">
        <v>56</v>
      </c>
      <c r="E14" s="9">
        <v>3373</v>
      </c>
      <c r="F14" s="8">
        <v>11</v>
      </c>
      <c r="G14" s="4">
        <v>75</v>
      </c>
      <c r="H14" s="9">
        <f>E14-(L14+O14+R14)+1600</f>
        <v>4973</v>
      </c>
      <c r="I14" s="9">
        <f t="shared" si="0"/>
        <v>11</v>
      </c>
      <c r="J14" s="9">
        <f>75+52</f>
        <v>127</v>
      </c>
      <c r="K14" s="125" t="s">
        <v>201</v>
      </c>
      <c r="L14" s="78"/>
      <c r="M14" s="8"/>
      <c r="N14" s="9"/>
      <c r="O14" s="78"/>
      <c r="P14" s="8"/>
      <c r="Q14" s="9"/>
      <c r="R14" s="78"/>
      <c r="S14" s="8"/>
      <c r="T14" s="9"/>
    </row>
    <row r="15" spans="1:20" ht="27.75" customHeight="1" x14ac:dyDescent="0.2">
      <c r="A15" s="267"/>
      <c r="B15" s="326"/>
      <c r="C15" s="328"/>
      <c r="D15" s="13" t="s">
        <v>61</v>
      </c>
      <c r="E15" s="9">
        <v>0</v>
      </c>
      <c r="F15" s="8">
        <v>0</v>
      </c>
      <c r="G15" s="4">
        <v>0</v>
      </c>
      <c r="H15" s="9">
        <f>5996+1533</f>
        <v>7529</v>
      </c>
      <c r="I15" s="9">
        <f>20</f>
        <v>20</v>
      </c>
      <c r="J15" s="9">
        <f>81+30</f>
        <v>111</v>
      </c>
      <c r="K15" s="125" t="s">
        <v>279</v>
      </c>
      <c r="L15" s="78"/>
      <c r="M15" s="8"/>
      <c r="N15" s="9"/>
      <c r="O15" s="78"/>
      <c r="P15" s="8"/>
      <c r="Q15" s="9"/>
      <c r="R15" s="78"/>
      <c r="S15" s="8"/>
      <c r="T15" s="9"/>
    </row>
    <row r="16" spans="1:20" ht="27.75" customHeight="1" x14ac:dyDescent="0.2">
      <c r="A16" s="267"/>
      <c r="B16" s="326"/>
      <c r="C16" s="328"/>
      <c r="D16" s="13" t="s">
        <v>57</v>
      </c>
      <c r="E16" s="9">
        <v>3133</v>
      </c>
      <c r="F16" s="8">
        <v>1</v>
      </c>
      <c r="G16" s="4">
        <v>82</v>
      </c>
      <c r="H16" s="9">
        <v>0</v>
      </c>
      <c r="I16" s="9">
        <v>0</v>
      </c>
      <c r="J16" s="9">
        <v>0</v>
      </c>
      <c r="K16" s="125" t="s">
        <v>200</v>
      </c>
      <c r="L16" s="78"/>
      <c r="M16" s="8"/>
      <c r="N16" s="9"/>
      <c r="O16" s="78"/>
      <c r="P16" s="8"/>
      <c r="Q16" s="9"/>
      <c r="R16" s="78"/>
      <c r="S16" s="8"/>
      <c r="T16" s="9"/>
    </row>
    <row r="17" spans="1:20" ht="27.75" customHeight="1" x14ac:dyDescent="0.2">
      <c r="A17" s="267"/>
      <c r="B17" s="326"/>
      <c r="C17" s="329"/>
      <c r="D17" s="113" t="s">
        <v>52</v>
      </c>
      <c r="E17" s="114">
        <f>SUM(E12:E16)</f>
        <v>41568</v>
      </c>
      <c r="F17" s="114">
        <f>SUM(F12:F16)</f>
        <v>26</v>
      </c>
      <c r="G17" s="114">
        <f>SUM(G12:G16)</f>
        <v>550</v>
      </c>
      <c r="H17" s="114">
        <f>SUM(H12:H16)</f>
        <v>47564</v>
      </c>
      <c r="I17" s="114">
        <f t="shared" ref="I17:J17" si="3">SUM(I12:I16)</f>
        <v>45</v>
      </c>
      <c r="J17" s="114">
        <f t="shared" si="3"/>
        <v>631</v>
      </c>
      <c r="K17" s="125"/>
      <c r="L17" s="78"/>
      <c r="M17" s="78"/>
      <c r="N17" s="78"/>
      <c r="O17" s="78"/>
      <c r="P17" s="78"/>
      <c r="Q17" s="78"/>
      <c r="R17" s="78"/>
      <c r="S17" s="78"/>
      <c r="T17" s="78"/>
    </row>
    <row r="18" spans="1:20" ht="36" customHeight="1" x14ac:dyDescent="0.2">
      <c r="A18" s="267"/>
      <c r="B18" s="326"/>
      <c r="C18" s="308" t="s">
        <v>58</v>
      </c>
      <c r="D18" s="13" t="s">
        <v>59</v>
      </c>
      <c r="E18" s="61">
        <v>6534</v>
      </c>
      <c r="F18" s="62">
        <v>8</v>
      </c>
      <c r="G18" s="4">
        <v>107</v>
      </c>
      <c r="H18" s="9">
        <f>E18+E21</f>
        <v>8889</v>
      </c>
      <c r="I18" s="9">
        <f>F18+F21</f>
        <v>14</v>
      </c>
      <c r="J18" s="9">
        <f>G18-(N18+Q18+T18)+82</f>
        <v>189</v>
      </c>
      <c r="K18" s="125" t="s">
        <v>276</v>
      </c>
      <c r="L18" s="62"/>
      <c r="M18" s="62"/>
      <c r="N18" s="62"/>
      <c r="O18" s="62"/>
      <c r="P18" s="62"/>
      <c r="Q18" s="62"/>
      <c r="R18" s="62"/>
      <c r="S18" s="62"/>
      <c r="T18" s="62"/>
    </row>
    <row r="19" spans="1:20" ht="26.25" customHeight="1" x14ac:dyDescent="0.2">
      <c r="A19" s="267"/>
      <c r="B19" s="326"/>
      <c r="C19" s="309"/>
      <c r="D19" s="13" t="s">
        <v>60</v>
      </c>
      <c r="E19" s="62">
        <v>9249</v>
      </c>
      <c r="F19" s="62">
        <v>10</v>
      </c>
      <c r="G19" s="4">
        <v>155</v>
      </c>
      <c r="H19" s="9">
        <v>0</v>
      </c>
      <c r="I19" s="9">
        <v>0</v>
      </c>
      <c r="J19" s="9">
        <v>0</v>
      </c>
      <c r="K19" s="125" t="s">
        <v>269</v>
      </c>
      <c r="L19" s="62"/>
      <c r="M19" s="62"/>
      <c r="N19" s="62"/>
      <c r="O19" s="62"/>
      <c r="P19" s="62"/>
      <c r="Q19" s="62"/>
      <c r="R19" s="62"/>
      <c r="S19" s="62"/>
      <c r="T19" s="62"/>
    </row>
    <row r="20" spans="1:20" ht="36" customHeight="1" x14ac:dyDescent="0.2">
      <c r="A20" s="267"/>
      <c r="B20" s="326"/>
      <c r="C20" s="309"/>
      <c r="D20" s="13" t="s">
        <v>61</v>
      </c>
      <c r="E20" s="62">
        <v>5996</v>
      </c>
      <c r="F20" s="62">
        <v>20</v>
      </c>
      <c r="G20" s="4">
        <v>81</v>
      </c>
      <c r="H20" s="9">
        <v>0</v>
      </c>
      <c r="I20" s="9">
        <v>0</v>
      </c>
      <c r="J20" s="9">
        <v>0</v>
      </c>
      <c r="K20" s="125" t="s">
        <v>277</v>
      </c>
      <c r="L20" s="62"/>
      <c r="M20" s="62"/>
      <c r="N20" s="62"/>
      <c r="O20" s="62"/>
      <c r="P20" s="62"/>
      <c r="Q20" s="62"/>
      <c r="R20" s="62"/>
      <c r="S20" s="62"/>
      <c r="T20" s="62"/>
    </row>
    <row r="21" spans="1:20" ht="29.45" customHeight="1" x14ac:dyDescent="0.2">
      <c r="A21" s="267"/>
      <c r="B21" s="326"/>
      <c r="C21" s="309"/>
      <c r="D21" s="13" t="s">
        <v>62</v>
      </c>
      <c r="E21" s="62">
        <v>2355</v>
      </c>
      <c r="F21" s="62">
        <v>6</v>
      </c>
      <c r="G21" s="4">
        <v>82</v>
      </c>
      <c r="H21" s="9">
        <v>0</v>
      </c>
      <c r="I21" s="9">
        <v>0</v>
      </c>
      <c r="J21" s="9">
        <v>0</v>
      </c>
      <c r="K21" s="125" t="s">
        <v>252</v>
      </c>
      <c r="L21" s="62"/>
      <c r="M21" s="62"/>
      <c r="N21" s="62"/>
      <c r="O21" s="62"/>
      <c r="P21" s="62"/>
      <c r="Q21" s="62"/>
      <c r="R21" s="62"/>
      <c r="S21" s="62"/>
      <c r="T21" s="62"/>
    </row>
    <row r="22" spans="1:20" ht="26.25" customHeight="1" x14ac:dyDescent="0.2">
      <c r="A22" s="267"/>
      <c r="B22" s="326"/>
      <c r="C22" s="309"/>
      <c r="D22" s="13" t="s">
        <v>63</v>
      </c>
      <c r="E22" s="62">
        <v>3614</v>
      </c>
      <c r="F22" s="62">
        <v>22</v>
      </c>
      <c r="G22" s="4">
        <v>118</v>
      </c>
      <c r="H22" s="9">
        <f t="shared" si="1"/>
        <v>3614</v>
      </c>
      <c r="I22" s="9">
        <f t="shared" si="0"/>
        <v>22</v>
      </c>
      <c r="J22" s="9">
        <f t="shared" si="0"/>
        <v>118</v>
      </c>
      <c r="K22" s="125"/>
      <c r="L22" s="62"/>
      <c r="M22" s="62"/>
      <c r="N22" s="62"/>
      <c r="O22" s="62"/>
      <c r="P22" s="62"/>
      <c r="Q22" s="62"/>
      <c r="R22" s="62"/>
      <c r="S22" s="62"/>
      <c r="T22" s="62"/>
    </row>
    <row r="23" spans="1:20" ht="26.25" customHeight="1" x14ac:dyDescent="0.2">
      <c r="A23" s="267"/>
      <c r="B23" s="326"/>
      <c r="C23" s="309"/>
      <c r="D23" s="13" t="s">
        <v>64</v>
      </c>
      <c r="E23" s="62">
        <v>4931</v>
      </c>
      <c r="F23" s="62">
        <v>13</v>
      </c>
      <c r="G23" s="4">
        <v>138</v>
      </c>
      <c r="H23" s="9">
        <f t="shared" si="1"/>
        <v>4931</v>
      </c>
      <c r="I23" s="9">
        <f t="shared" si="1"/>
        <v>13</v>
      </c>
      <c r="J23" s="9">
        <f t="shared" si="1"/>
        <v>138</v>
      </c>
      <c r="K23" s="125"/>
      <c r="L23" s="62"/>
      <c r="M23" s="62"/>
      <c r="N23" s="62"/>
      <c r="O23" s="62"/>
      <c r="P23" s="62"/>
      <c r="Q23" s="62"/>
      <c r="R23" s="62"/>
      <c r="S23" s="62"/>
      <c r="T23" s="62"/>
    </row>
    <row r="24" spans="1:20" ht="26.25" customHeight="1" x14ac:dyDescent="0.2">
      <c r="A24" s="267"/>
      <c r="B24" s="326"/>
      <c r="C24" s="309"/>
      <c r="D24" s="13" t="s">
        <v>65</v>
      </c>
      <c r="E24" s="62">
        <v>10871</v>
      </c>
      <c r="F24" s="62">
        <v>9</v>
      </c>
      <c r="G24" s="4">
        <v>157</v>
      </c>
      <c r="H24" s="9">
        <f t="shared" si="1"/>
        <v>10871</v>
      </c>
      <c r="I24" s="9">
        <f t="shared" si="1"/>
        <v>9</v>
      </c>
      <c r="J24" s="9">
        <f t="shared" si="1"/>
        <v>157</v>
      </c>
      <c r="K24" s="125"/>
      <c r="L24" s="62"/>
      <c r="M24" s="62"/>
      <c r="N24" s="62"/>
      <c r="O24" s="62"/>
      <c r="P24" s="62"/>
      <c r="Q24" s="62"/>
      <c r="R24" s="62"/>
      <c r="S24" s="62"/>
      <c r="T24" s="62"/>
    </row>
    <row r="25" spans="1:20" ht="35.450000000000003" customHeight="1" x14ac:dyDescent="0.2">
      <c r="A25" s="267"/>
      <c r="B25" s="326"/>
      <c r="C25" s="309"/>
      <c r="D25" s="13" t="s">
        <v>219</v>
      </c>
      <c r="E25" s="62">
        <v>0</v>
      </c>
      <c r="F25" s="62">
        <v>0</v>
      </c>
      <c r="G25" s="4">
        <v>0</v>
      </c>
      <c r="H25" s="9">
        <v>7285</v>
      </c>
      <c r="I25" s="9">
        <v>1</v>
      </c>
      <c r="J25" s="9">
        <v>178</v>
      </c>
      <c r="K25" s="125" t="s">
        <v>270</v>
      </c>
      <c r="L25" s="62"/>
      <c r="M25" s="62"/>
      <c r="N25" s="62"/>
      <c r="O25" s="62"/>
      <c r="P25" s="62"/>
      <c r="Q25" s="62"/>
      <c r="R25" s="62"/>
      <c r="S25" s="62"/>
      <c r="T25" s="62"/>
    </row>
    <row r="26" spans="1:20" ht="26.25" customHeight="1" x14ac:dyDescent="0.2">
      <c r="A26" s="267"/>
      <c r="B26" s="326"/>
      <c r="C26" s="310"/>
      <c r="D26" s="113" t="s">
        <v>52</v>
      </c>
      <c r="E26" s="115">
        <f t="shared" ref="E26:J26" si="4">SUM(E18:E25)</f>
        <v>43550</v>
      </c>
      <c r="F26" s="115">
        <f t="shared" si="4"/>
        <v>88</v>
      </c>
      <c r="G26" s="115">
        <f t="shared" si="4"/>
        <v>838</v>
      </c>
      <c r="H26" s="114">
        <f t="shared" si="4"/>
        <v>35590</v>
      </c>
      <c r="I26" s="114">
        <f t="shared" si="4"/>
        <v>59</v>
      </c>
      <c r="J26" s="114">
        <f t="shared" si="4"/>
        <v>780</v>
      </c>
      <c r="K26" s="125"/>
      <c r="L26" s="62"/>
      <c r="M26" s="62"/>
      <c r="N26" s="62"/>
      <c r="O26" s="62"/>
      <c r="P26" s="62"/>
      <c r="Q26" s="62"/>
      <c r="R26" s="62"/>
      <c r="S26" s="62"/>
      <c r="T26" s="62"/>
    </row>
    <row r="27" spans="1:20" ht="26.25" customHeight="1" x14ac:dyDescent="0.2">
      <c r="A27" s="267"/>
      <c r="B27" s="80"/>
      <c r="C27" s="308" t="s">
        <v>221</v>
      </c>
      <c r="D27" s="13" t="s">
        <v>66</v>
      </c>
      <c r="E27" s="62">
        <v>15030</v>
      </c>
      <c r="F27" s="62">
        <v>8</v>
      </c>
      <c r="G27" s="4">
        <v>196</v>
      </c>
      <c r="H27" s="9">
        <v>15030</v>
      </c>
      <c r="I27" s="9">
        <v>8</v>
      </c>
      <c r="J27" s="9">
        <v>196</v>
      </c>
      <c r="K27" s="125"/>
      <c r="L27" s="62"/>
      <c r="M27" s="62"/>
      <c r="N27" s="62"/>
      <c r="O27" s="62"/>
      <c r="P27" s="62"/>
      <c r="Q27" s="62"/>
      <c r="R27" s="62"/>
      <c r="S27" s="62"/>
      <c r="T27" s="62"/>
    </row>
    <row r="28" spans="1:20" ht="26.25" customHeight="1" x14ac:dyDescent="0.2">
      <c r="A28" s="267"/>
      <c r="B28" s="80"/>
      <c r="C28" s="309"/>
      <c r="D28" s="13" t="s">
        <v>67</v>
      </c>
      <c r="E28" s="62">
        <v>4148</v>
      </c>
      <c r="F28" s="62">
        <v>6</v>
      </c>
      <c r="G28" s="4">
        <v>92</v>
      </c>
      <c r="H28" s="9">
        <v>4148</v>
      </c>
      <c r="I28" s="9">
        <v>6</v>
      </c>
      <c r="J28" s="9">
        <v>92</v>
      </c>
      <c r="K28" s="125"/>
      <c r="L28" s="62"/>
      <c r="M28" s="62"/>
      <c r="N28" s="62"/>
      <c r="O28" s="62"/>
      <c r="P28" s="62"/>
      <c r="Q28" s="62"/>
      <c r="R28" s="62"/>
      <c r="S28" s="62"/>
      <c r="T28" s="62"/>
    </row>
    <row r="29" spans="1:20" ht="34.15" customHeight="1" x14ac:dyDescent="0.2">
      <c r="A29" s="267"/>
      <c r="B29" s="326"/>
      <c r="C29" s="309"/>
      <c r="D29" s="13" t="s">
        <v>68</v>
      </c>
      <c r="E29" s="62">
        <v>7366</v>
      </c>
      <c r="F29" s="62">
        <v>1</v>
      </c>
      <c r="G29" s="4">
        <v>195</v>
      </c>
      <c r="H29" s="9">
        <v>7366</v>
      </c>
      <c r="I29" s="9">
        <v>1</v>
      </c>
      <c r="J29" s="9">
        <v>195</v>
      </c>
      <c r="K29" s="125"/>
      <c r="L29" s="62"/>
      <c r="M29" s="62"/>
      <c r="N29" s="62"/>
      <c r="O29" s="62"/>
      <c r="P29" s="62"/>
      <c r="Q29" s="62"/>
      <c r="R29" s="62"/>
      <c r="S29" s="62"/>
      <c r="T29" s="62"/>
    </row>
    <row r="30" spans="1:20" ht="34.15" customHeight="1" x14ac:dyDescent="0.2">
      <c r="A30" s="267"/>
      <c r="B30" s="326"/>
      <c r="C30" s="309"/>
      <c r="D30" s="13" t="s">
        <v>70</v>
      </c>
      <c r="E30" s="62">
        <v>6178</v>
      </c>
      <c r="F30" s="62">
        <v>1</v>
      </c>
      <c r="G30" s="4">
        <v>155</v>
      </c>
      <c r="H30" s="9">
        <v>6178</v>
      </c>
      <c r="I30" s="9">
        <v>1</v>
      </c>
      <c r="J30" s="9">
        <v>155</v>
      </c>
      <c r="K30" s="125"/>
      <c r="L30" s="62"/>
      <c r="M30" s="62"/>
      <c r="N30" s="62"/>
      <c r="O30" s="62"/>
      <c r="P30" s="62"/>
      <c r="Q30" s="62"/>
      <c r="R30" s="62"/>
      <c r="S30" s="62"/>
      <c r="T30" s="62"/>
    </row>
    <row r="31" spans="1:20" ht="34.15" customHeight="1" x14ac:dyDescent="0.2">
      <c r="A31" s="267"/>
      <c r="B31" s="326"/>
      <c r="C31" s="309"/>
      <c r="D31" s="13" t="s">
        <v>72</v>
      </c>
      <c r="E31" s="62">
        <v>12826</v>
      </c>
      <c r="F31" s="62">
        <v>2</v>
      </c>
      <c r="G31" s="4">
        <v>203</v>
      </c>
      <c r="H31" s="9">
        <v>12826</v>
      </c>
      <c r="I31" s="9">
        <v>2</v>
      </c>
      <c r="J31" s="9">
        <v>203</v>
      </c>
      <c r="K31" s="125"/>
      <c r="L31" s="62"/>
      <c r="M31" s="62"/>
      <c r="N31" s="62"/>
      <c r="O31" s="62"/>
      <c r="P31" s="62"/>
      <c r="Q31" s="62"/>
      <c r="R31" s="62"/>
      <c r="S31" s="62"/>
      <c r="T31" s="62"/>
    </row>
    <row r="32" spans="1:20" ht="34.15" customHeight="1" x14ac:dyDescent="0.2">
      <c r="A32" s="267"/>
      <c r="B32" s="326"/>
      <c r="C32" s="310"/>
      <c r="D32" s="113" t="s">
        <v>52</v>
      </c>
      <c r="E32" s="115">
        <f>SUM(E27:E31)</f>
        <v>45548</v>
      </c>
      <c r="F32" s="115">
        <f t="shared" ref="F32:J32" si="5">SUM(F27:F31)</f>
        <v>18</v>
      </c>
      <c r="G32" s="115">
        <f t="shared" si="5"/>
        <v>841</v>
      </c>
      <c r="H32" s="115">
        <f t="shared" si="5"/>
        <v>45548</v>
      </c>
      <c r="I32" s="115">
        <f t="shared" si="5"/>
        <v>18</v>
      </c>
      <c r="J32" s="115">
        <f t="shared" si="5"/>
        <v>841</v>
      </c>
      <c r="K32" s="125"/>
      <c r="L32" s="62"/>
      <c r="M32" s="62"/>
      <c r="N32" s="62"/>
      <c r="O32" s="62"/>
      <c r="P32" s="62"/>
      <c r="Q32" s="62"/>
      <c r="R32" s="62"/>
      <c r="S32" s="62"/>
      <c r="T32" s="62"/>
    </row>
    <row r="33" spans="1:20" ht="31.15" customHeight="1" x14ac:dyDescent="0.2">
      <c r="A33" s="267"/>
      <c r="B33" s="326"/>
      <c r="C33" s="319" t="s">
        <v>79</v>
      </c>
      <c r="D33" s="320"/>
      <c r="E33" s="62">
        <v>18408</v>
      </c>
      <c r="F33" s="62">
        <v>4</v>
      </c>
      <c r="G33" s="4">
        <v>164</v>
      </c>
      <c r="H33" s="9">
        <f t="shared" si="1"/>
        <v>18408</v>
      </c>
      <c r="I33" s="9">
        <f t="shared" si="1"/>
        <v>4</v>
      </c>
      <c r="J33" s="9">
        <f t="shared" si="1"/>
        <v>164</v>
      </c>
      <c r="K33" s="125"/>
      <c r="L33" s="60"/>
      <c r="M33" s="60"/>
      <c r="N33" s="60"/>
      <c r="O33" s="60"/>
      <c r="P33" s="60"/>
      <c r="Q33" s="60"/>
      <c r="R33" s="60"/>
      <c r="S33" s="60"/>
      <c r="T33" s="60"/>
    </row>
    <row r="34" spans="1:20" ht="31.15" customHeight="1" x14ac:dyDescent="0.2">
      <c r="A34" s="267"/>
      <c r="B34" s="326"/>
      <c r="C34" s="319" t="s">
        <v>80</v>
      </c>
      <c r="D34" s="320"/>
      <c r="E34" s="62">
        <v>15296</v>
      </c>
      <c r="F34" s="62">
        <v>2</v>
      </c>
      <c r="G34" s="4">
        <v>125</v>
      </c>
      <c r="H34" s="9">
        <f t="shared" si="1"/>
        <v>15296</v>
      </c>
      <c r="I34" s="9">
        <f t="shared" si="1"/>
        <v>2</v>
      </c>
      <c r="J34" s="9">
        <f t="shared" si="1"/>
        <v>125</v>
      </c>
      <c r="K34" s="125"/>
      <c r="L34" s="60"/>
      <c r="M34" s="60"/>
      <c r="N34" s="60"/>
      <c r="O34" s="60"/>
      <c r="P34" s="60"/>
      <c r="Q34" s="60"/>
      <c r="R34" s="60"/>
      <c r="S34" s="60"/>
      <c r="T34" s="60"/>
    </row>
    <row r="35" spans="1:20" ht="31.15" customHeight="1" x14ac:dyDescent="0.2">
      <c r="A35" s="267"/>
      <c r="B35" s="326"/>
      <c r="C35" s="319" t="s">
        <v>177</v>
      </c>
      <c r="D35" s="320"/>
      <c r="E35" s="62">
        <v>16497</v>
      </c>
      <c r="F35" s="62">
        <v>2</v>
      </c>
      <c r="G35" s="4">
        <v>157</v>
      </c>
      <c r="H35" s="9">
        <f t="shared" si="1"/>
        <v>16497</v>
      </c>
      <c r="I35" s="9">
        <f t="shared" si="1"/>
        <v>2</v>
      </c>
      <c r="J35" s="9">
        <f t="shared" si="1"/>
        <v>157</v>
      </c>
      <c r="K35" s="125"/>
      <c r="L35" s="60"/>
      <c r="M35" s="60"/>
      <c r="N35" s="60"/>
      <c r="O35" s="60"/>
      <c r="P35" s="60"/>
      <c r="Q35" s="60"/>
      <c r="R35" s="60"/>
      <c r="S35" s="60"/>
      <c r="T35" s="60"/>
    </row>
    <row r="36" spans="1:20" ht="31.15" customHeight="1" x14ac:dyDescent="0.2">
      <c r="A36" s="267"/>
      <c r="B36" s="326"/>
      <c r="C36" s="319" t="s">
        <v>81</v>
      </c>
      <c r="D36" s="320"/>
      <c r="E36" s="62">
        <v>16203</v>
      </c>
      <c r="F36" s="62">
        <v>2</v>
      </c>
      <c r="G36" s="4">
        <v>206</v>
      </c>
      <c r="H36" s="9">
        <f t="shared" si="1"/>
        <v>16203</v>
      </c>
      <c r="I36" s="9">
        <f t="shared" si="1"/>
        <v>2</v>
      </c>
      <c r="J36" s="9">
        <f t="shared" si="1"/>
        <v>206</v>
      </c>
      <c r="K36" s="125"/>
      <c r="L36" s="60"/>
      <c r="M36" s="60"/>
      <c r="N36" s="60"/>
      <c r="O36" s="60"/>
      <c r="P36" s="60"/>
      <c r="Q36" s="60"/>
      <c r="R36" s="60"/>
      <c r="S36" s="60"/>
      <c r="T36" s="60"/>
    </row>
    <row r="37" spans="1:20" ht="31.15" customHeight="1" x14ac:dyDescent="0.2">
      <c r="A37" s="267"/>
      <c r="B37" s="55"/>
      <c r="C37" s="319" t="s">
        <v>82</v>
      </c>
      <c r="D37" s="320"/>
      <c r="E37" s="62">
        <v>15574</v>
      </c>
      <c r="F37" s="62">
        <v>1</v>
      </c>
      <c r="G37" s="4">
        <v>206</v>
      </c>
      <c r="H37" s="9">
        <f t="shared" si="1"/>
        <v>15574</v>
      </c>
      <c r="I37" s="9">
        <f t="shared" si="1"/>
        <v>1</v>
      </c>
      <c r="J37" s="9">
        <f t="shared" si="1"/>
        <v>206</v>
      </c>
      <c r="K37" s="125"/>
      <c r="L37" s="60"/>
      <c r="M37" s="60"/>
      <c r="N37" s="60"/>
      <c r="O37" s="60"/>
      <c r="P37" s="60"/>
      <c r="Q37" s="60"/>
      <c r="R37" s="60"/>
      <c r="S37" s="60"/>
      <c r="T37" s="60"/>
    </row>
    <row r="38" spans="1:20" ht="27.75" customHeight="1" x14ac:dyDescent="0.2">
      <c r="A38" s="267"/>
      <c r="B38" s="321" t="s">
        <v>83</v>
      </c>
      <c r="C38" s="322"/>
      <c r="D38" s="323"/>
      <c r="E38" s="106">
        <f t="shared" ref="E38:J38" si="6">E11+E17+E26+E32+E33+E34+E35+E36+E37</f>
        <v>261938</v>
      </c>
      <c r="F38" s="106">
        <f t="shared" si="6"/>
        <v>163</v>
      </c>
      <c r="G38" s="106">
        <f t="shared" si="6"/>
        <v>3594</v>
      </c>
      <c r="H38" s="106">
        <f t="shared" si="6"/>
        <v>261177</v>
      </c>
      <c r="I38" s="106">
        <f t="shared" si="6"/>
        <v>156</v>
      </c>
      <c r="J38" s="106">
        <f t="shared" si="6"/>
        <v>3655</v>
      </c>
      <c r="K38" s="125"/>
      <c r="L38" s="60">
        <f t="shared" ref="L38:T38" si="7">SUM(L5:L37)</f>
        <v>0</v>
      </c>
      <c r="M38" s="60">
        <f t="shared" si="7"/>
        <v>0</v>
      </c>
      <c r="N38" s="60">
        <f t="shared" si="7"/>
        <v>0</v>
      </c>
      <c r="O38" s="60">
        <f t="shared" si="7"/>
        <v>0</v>
      </c>
      <c r="P38" s="60">
        <f t="shared" si="7"/>
        <v>0</v>
      </c>
      <c r="Q38" s="60">
        <f t="shared" si="7"/>
        <v>0</v>
      </c>
      <c r="R38" s="60">
        <f t="shared" si="7"/>
        <v>0</v>
      </c>
      <c r="S38" s="60">
        <f t="shared" si="7"/>
        <v>0</v>
      </c>
      <c r="T38" s="60">
        <f t="shared" si="7"/>
        <v>0</v>
      </c>
    </row>
    <row r="39" spans="1:20" ht="26.25" customHeight="1" x14ac:dyDescent="0.2">
      <c r="A39" s="267"/>
      <c r="B39" s="274" t="s">
        <v>130</v>
      </c>
      <c r="C39" s="316" t="s">
        <v>84</v>
      </c>
      <c r="D39" s="38" t="s">
        <v>85</v>
      </c>
      <c r="E39" s="63">
        <v>12239</v>
      </c>
      <c r="F39" s="63">
        <v>3</v>
      </c>
      <c r="G39" s="63">
        <v>109</v>
      </c>
      <c r="H39" s="9">
        <f t="shared" si="1"/>
        <v>12239</v>
      </c>
      <c r="I39" s="9">
        <f t="shared" si="1"/>
        <v>3</v>
      </c>
      <c r="J39" s="9">
        <f t="shared" si="1"/>
        <v>109</v>
      </c>
      <c r="K39" s="125"/>
      <c r="L39" s="60"/>
      <c r="M39" s="60"/>
      <c r="N39" s="60"/>
      <c r="O39" s="60"/>
      <c r="P39" s="60"/>
      <c r="Q39" s="60"/>
      <c r="R39" s="60"/>
      <c r="S39" s="60"/>
      <c r="T39" s="62"/>
    </row>
    <row r="40" spans="1:20" ht="27.75" x14ac:dyDescent="0.2">
      <c r="A40" s="267"/>
      <c r="B40" s="267"/>
      <c r="C40" s="317"/>
      <c r="D40" s="38" t="s">
        <v>86</v>
      </c>
      <c r="E40" s="63">
        <v>8810</v>
      </c>
      <c r="F40" s="63">
        <v>6</v>
      </c>
      <c r="G40" s="63">
        <v>202</v>
      </c>
      <c r="H40" s="9">
        <f>E40-(L40+O40+R40)-3600</f>
        <v>5054</v>
      </c>
      <c r="I40" s="9">
        <f>F40-(M40+P40+S40)</f>
        <v>6</v>
      </c>
      <c r="J40" s="9">
        <f>G40-(N40+Q40+T40)-72</f>
        <v>126</v>
      </c>
      <c r="K40" s="125" t="s">
        <v>173</v>
      </c>
      <c r="L40" s="60"/>
      <c r="M40" s="60"/>
      <c r="N40" s="60"/>
      <c r="O40" s="60">
        <v>156</v>
      </c>
      <c r="P40" s="60">
        <v>0</v>
      </c>
      <c r="Q40" s="60">
        <v>4</v>
      </c>
      <c r="R40" s="60"/>
      <c r="S40" s="60"/>
      <c r="T40" s="62"/>
    </row>
    <row r="41" spans="1:20" ht="47.25" customHeight="1" x14ac:dyDescent="0.2">
      <c r="A41" s="267"/>
      <c r="B41" s="267"/>
      <c r="C41" s="317"/>
      <c r="D41" s="38" t="s">
        <v>87</v>
      </c>
      <c r="E41" s="63">
        <v>6320</v>
      </c>
      <c r="F41" s="63">
        <v>0</v>
      </c>
      <c r="G41" s="63">
        <v>128</v>
      </c>
      <c r="H41" s="9">
        <f>E41-(L41+O41+R41)-750</f>
        <v>4892</v>
      </c>
      <c r="I41" s="9">
        <f t="shared" si="1"/>
        <v>0</v>
      </c>
      <c r="J41" s="9">
        <f>G41-(N41+Q41+T41)-30</f>
        <v>92</v>
      </c>
      <c r="K41" s="125" t="s">
        <v>222</v>
      </c>
      <c r="L41" s="60"/>
      <c r="M41" s="60"/>
      <c r="N41" s="60"/>
      <c r="O41" s="60">
        <v>678</v>
      </c>
      <c r="P41" s="60">
        <v>0</v>
      </c>
      <c r="Q41" s="60">
        <v>6</v>
      </c>
      <c r="R41" s="60"/>
      <c r="S41" s="60"/>
      <c r="T41" s="62"/>
    </row>
    <row r="42" spans="1:20" ht="47.25" customHeight="1" x14ac:dyDescent="0.2">
      <c r="A42" s="267"/>
      <c r="B42" s="267"/>
      <c r="C42" s="317"/>
      <c r="D42" s="38" t="s">
        <v>250</v>
      </c>
      <c r="E42" s="63">
        <v>0</v>
      </c>
      <c r="F42" s="63">
        <v>0</v>
      </c>
      <c r="G42" s="63">
        <v>0</v>
      </c>
      <c r="H42" s="9">
        <v>6000</v>
      </c>
      <c r="I42" s="9">
        <v>0</v>
      </c>
      <c r="J42" s="9">
        <v>102</v>
      </c>
      <c r="K42" s="125" t="s">
        <v>251</v>
      </c>
      <c r="L42" s="60"/>
      <c r="M42" s="60"/>
      <c r="N42" s="60"/>
      <c r="O42" s="60"/>
      <c r="P42" s="60"/>
      <c r="Q42" s="60"/>
      <c r="R42" s="60"/>
      <c r="S42" s="60"/>
      <c r="T42" s="62"/>
    </row>
    <row r="43" spans="1:20" ht="47.25" customHeight="1" x14ac:dyDescent="0.2">
      <c r="A43" s="267"/>
      <c r="B43" s="267"/>
      <c r="C43" s="317"/>
      <c r="D43" s="38" t="s">
        <v>253</v>
      </c>
      <c r="E43" s="63">
        <v>0</v>
      </c>
      <c r="F43" s="63">
        <v>0</v>
      </c>
      <c r="G43" s="63">
        <v>0</v>
      </c>
      <c r="H43" s="9">
        <f>3600+750</f>
        <v>4350</v>
      </c>
      <c r="I43" s="9">
        <v>0</v>
      </c>
      <c r="J43" s="9">
        <f>72+30</f>
        <v>102</v>
      </c>
      <c r="K43" s="125" t="s">
        <v>260</v>
      </c>
      <c r="L43" s="60"/>
      <c r="M43" s="60"/>
      <c r="N43" s="60"/>
      <c r="O43" s="60"/>
      <c r="P43" s="60"/>
      <c r="Q43" s="60"/>
      <c r="R43" s="60"/>
      <c r="S43" s="60"/>
      <c r="T43" s="62"/>
    </row>
    <row r="44" spans="1:20" ht="27" customHeight="1" x14ac:dyDescent="0.2">
      <c r="A44" s="267"/>
      <c r="B44" s="267"/>
      <c r="C44" s="317"/>
      <c r="D44" s="38" t="s">
        <v>88</v>
      </c>
      <c r="E44" s="63">
        <v>17075</v>
      </c>
      <c r="F44" s="63">
        <v>8</v>
      </c>
      <c r="G44" s="63">
        <v>223</v>
      </c>
      <c r="H44" s="9">
        <f>E44-(L44+O44+R44)-6000</f>
        <v>11075</v>
      </c>
      <c r="I44" s="9">
        <f t="shared" si="1"/>
        <v>8</v>
      </c>
      <c r="J44" s="9">
        <f>G44-(N44+Q44+T44)-102</f>
        <v>121</v>
      </c>
      <c r="K44" s="125" t="s">
        <v>261</v>
      </c>
      <c r="L44" s="60"/>
      <c r="M44" s="60"/>
      <c r="N44" s="60"/>
      <c r="O44" s="60"/>
      <c r="P44" s="60"/>
      <c r="Q44" s="60"/>
      <c r="R44" s="60"/>
      <c r="S44" s="60"/>
      <c r="T44" s="62"/>
    </row>
    <row r="45" spans="1:20" ht="27" customHeight="1" x14ac:dyDescent="0.2">
      <c r="A45" s="267"/>
      <c r="B45" s="267"/>
      <c r="C45" s="318"/>
      <c r="D45" s="105" t="s">
        <v>52</v>
      </c>
      <c r="E45" s="107">
        <f>SUM(E39:E44)</f>
        <v>44444</v>
      </c>
      <c r="F45" s="107">
        <f>SUM(F39:F44)</f>
        <v>17</v>
      </c>
      <c r="G45" s="107">
        <f>SUM(G39:G44)</f>
        <v>662</v>
      </c>
      <c r="H45" s="108">
        <f>SUM(H39:H44)</f>
        <v>43610</v>
      </c>
      <c r="I45" s="108">
        <f t="shared" ref="I45:J45" si="8">SUM(I39:I44)</f>
        <v>17</v>
      </c>
      <c r="J45" s="108">
        <f t="shared" si="8"/>
        <v>652</v>
      </c>
      <c r="K45" s="125"/>
      <c r="L45" s="60"/>
      <c r="M45" s="60"/>
      <c r="N45" s="60"/>
      <c r="O45" s="60"/>
      <c r="P45" s="60"/>
      <c r="Q45" s="60"/>
      <c r="R45" s="60"/>
      <c r="S45" s="60"/>
      <c r="T45" s="62"/>
    </row>
    <row r="46" spans="1:20" ht="27" customHeight="1" x14ac:dyDescent="0.2">
      <c r="A46" s="267"/>
      <c r="B46" s="267"/>
      <c r="C46" s="316" t="s">
        <v>89</v>
      </c>
      <c r="D46" s="38" t="s">
        <v>90</v>
      </c>
      <c r="E46" s="63">
        <v>10444</v>
      </c>
      <c r="F46" s="63">
        <v>10</v>
      </c>
      <c r="G46" s="63">
        <v>209</v>
      </c>
      <c r="H46" s="9">
        <f>E46-(L46+O46+R46)-5400</f>
        <v>5044</v>
      </c>
      <c r="I46" s="9">
        <f t="shared" si="1"/>
        <v>10</v>
      </c>
      <c r="J46" s="9">
        <f>G46-(N46+Q46+T46)-60</f>
        <v>149</v>
      </c>
      <c r="K46" s="125" t="s">
        <v>223</v>
      </c>
      <c r="L46" s="60"/>
      <c r="M46" s="60"/>
      <c r="N46" s="60"/>
      <c r="O46" s="60"/>
      <c r="P46" s="60"/>
      <c r="Q46" s="60"/>
      <c r="R46" s="60"/>
      <c r="S46" s="60"/>
      <c r="T46" s="62"/>
    </row>
    <row r="47" spans="1:20" ht="27" customHeight="1" x14ac:dyDescent="0.2">
      <c r="A47" s="267"/>
      <c r="B47" s="267"/>
      <c r="C47" s="317"/>
      <c r="D47" s="38" t="s">
        <v>91</v>
      </c>
      <c r="E47" s="63">
        <v>6456</v>
      </c>
      <c r="F47" s="63">
        <v>7</v>
      </c>
      <c r="G47" s="63">
        <v>184</v>
      </c>
      <c r="H47" s="9">
        <f>E47-(L47+O47+R47)-1800</f>
        <v>4656</v>
      </c>
      <c r="I47" s="9">
        <f t="shared" si="1"/>
        <v>7</v>
      </c>
      <c r="J47" s="9">
        <f>G47-(N47+Q47+T47)-44</f>
        <v>140</v>
      </c>
      <c r="K47" s="125" t="s">
        <v>223</v>
      </c>
      <c r="L47" s="60"/>
      <c r="M47" s="60"/>
      <c r="N47" s="60"/>
      <c r="O47" s="60"/>
      <c r="P47" s="60"/>
      <c r="Q47" s="60"/>
      <c r="R47" s="60"/>
      <c r="S47" s="60"/>
      <c r="T47" s="62"/>
    </row>
    <row r="48" spans="1:20" ht="27" customHeight="1" x14ac:dyDescent="0.2">
      <c r="A48" s="267"/>
      <c r="B48" s="267"/>
      <c r="C48" s="317"/>
      <c r="D48" s="38" t="s">
        <v>92</v>
      </c>
      <c r="E48" s="63">
        <v>11559</v>
      </c>
      <c r="F48" s="63">
        <v>8</v>
      </c>
      <c r="G48" s="63">
        <v>167</v>
      </c>
      <c r="H48" s="9">
        <f>E48-(L48+O48+R48)-3900</f>
        <v>7659</v>
      </c>
      <c r="I48" s="9">
        <f t="shared" si="1"/>
        <v>8</v>
      </c>
      <c r="J48" s="9">
        <f>G48-(N48+Q48+T48)-45</f>
        <v>122</v>
      </c>
      <c r="K48" s="125" t="s">
        <v>224</v>
      </c>
      <c r="L48" s="60"/>
      <c r="M48" s="60"/>
      <c r="N48" s="60"/>
      <c r="O48" s="60"/>
      <c r="P48" s="60"/>
      <c r="Q48" s="60"/>
      <c r="R48" s="60"/>
      <c r="S48" s="60"/>
      <c r="T48" s="62"/>
    </row>
    <row r="49" spans="1:20" ht="45" customHeight="1" x14ac:dyDescent="0.2">
      <c r="A49" s="267"/>
      <c r="B49" s="267"/>
      <c r="C49" s="317"/>
      <c r="D49" s="38" t="s">
        <v>93</v>
      </c>
      <c r="E49" s="63">
        <v>4430</v>
      </c>
      <c r="F49" s="63">
        <v>0</v>
      </c>
      <c r="G49" s="63">
        <v>133</v>
      </c>
      <c r="H49" s="9">
        <f>E49-(L49+O49+R49)+151</f>
        <v>4550</v>
      </c>
      <c r="I49" s="9">
        <f t="shared" si="1"/>
        <v>0</v>
      </c>
      <c r="J49" s="9">
        <f>G49-(N49+Q49+T49)+4</f>
        <v>136</v>
      </c>
      <c r="K49" s="125" t="s">
        <v>262</v>
      </c>
      <c r="L49" s="60"/>
      <c r="M49" s="60"/>
      <c r="N49" s="60"/>
      <c r="O49" s="60">
        <v>31</v>
      </c>
      <c r="P49" s="60">
        <v>0</v>
      </c>
      <c r="Q49" s="60">
        <v>1</v>
      </c>
      <c r="R49" s="60"/>
      <c r="S49" s="60"/>
      <c r="T49" s="62"/>
    </row>
    <row r="50" spans="1:20" ht="45" customHeight="1" x14ac:dyDescent="0.2">
      <c r="A50" s="267"/>
      <c r="B50" s="267"/>
      <c r="C50" s="317"/>
      <c r="D50" s="38" t="s">
        <v>225</v>
      </c>
      <c r="E50" s="63">
        <v>0</v>
      </c>
      <c r="F50" s="63">
        <v>0</v>
      </c>
      <c r="G50" s="63">
        <v>0</v>
      </c>
      <c r="H50" s="9">
        <f>5400+1800</f>
        <v>7200</v>
      </c>
      <c r="I50" s="9">
        <v>0</v>
      </c>
      <c r="J50" s="9">
        <f>60+44</f>
        <v>104</v>
      </c>
      <c r="K50" s="125" t="s">
        <v>281</v>
      </c>
      <c r="L50" s="60"/>
      <c r="M50" s="60"/>
      <c r="N50" s="60"/>
      <c r="O50" s="60"/>
      <c r="P50" s="60"/>
      <c r="Q50" s="60"/>
      <c r="R50" s="60"/>
      <c r="S50" s="60"/>
      <c r="T50" s="62"/>
    </row>
    <row r="51" spans="1:20" ht="45" customHeight="1" x14ac:dyDescent="0.2">
      <c r="A51" s="267"/>
      <c r="B51" s="267"/>
      <c r="C51" s="317"/>
      <c r="D51" s="38" t="s">
        <v>248</v>
      </c>
      <c r="E51" s="63">
        <v>0</v>
      </c>
      <c r="F51" s="63">
        <v>0</v>
      </c>
      <c r="G51" s="63">
        <v>0</v>
      </c>
      <c r="H51" s="9">
        <v>4606</v>
      </c>
      <c r="I51" s="9">
        <v>11</v>
      </c>
      <c r="J51" s="9">
        <v>156</v>
      </c>
      <c r="K51" s="125" t="s">
        <v>220</v>
      </c>
      <c r="L51" s="60"/>
      <c r="M51" s="60"/>
      <c r="N51" s="60"/>
      <c r="O51" s="60"/>
      <c r="P51" s="60"/>
      <c r="Q51" s="60"/>
      <c r="R51" s="60"/>
      <c r="S51" s="60"/>
      <c r="T51" s="62"/>
    </row>
    <row r="52" spans="1:20" ht="45" customHeight="1" x14ac:dyDescent="0.2">
      <c r="A52" s="267"/>
      <c r="B52" s="267"/>
      <c r="C52" s="317"/>
      <c r="D52" s="38" t="s">
        <v>134</v>
      </c>
      <c r="E52" s="63">
        <v>0</v>
      </c>
      <c r="F52" s="63">
        <v>0</v>
      </c>
      <c r="G52" s="63">
        <v>0</v>
      </c>
      <c r="H52" s="9">
        <v>4757</v>
      </c>
      <c r="I52" s="9" t="s">
        <v>249</v>
      </c>
      <c r="J52" s="9">
        <v>128</v>
      </c>
      <c r="K52" s="125" t="s">
        <v>220</v>
      </c>
      <c r="L52" s="60"/>
      <c r="M52" s="60"/>
      <c r="N52" s="60"/>
      <c r="O52" s="60"/>
      <c r="P52" s="60"/>
      <c r="Q52" s="60"/>
      <c r="R52" s="60"/>
      <c r="S52" s="60"/>
      <c r="T52" s="62"/>
    </row>
    <row r="53" spans="1:20" ht="45" customHeight="1" x14ac:dyDescent="0.2">
      <c r="A53" s="267"/>
      <c r="B53" s="267"/>
      <c r="C53" s="317"/>
      <c r="D53" s="38" t="s">
        <v>227</v>
      </c>
      <c r="E53" s="63">
        <v>0</v>
      </c>
      <c r="F53" s="63">
        <v>0</v>
      </c>
      <c r="G53" s="63">
        <v>0</v>
      </c>
      <c r="H53" s="9">
        <f>3900+1200</f>
        <v>5100</v>
      </c>
      <c r="I53" s="9">
        <v>0</v>
      </c>
      <c r="J53" s="9">
        <f>45+30</f>
        <v>75</v>
      </c>
      <c r="K53" s="125" t="s">
        <v>280</v>
      </c>
      <c r="L53" s="60"/>
      <c r="M53" s="60"/>
      <c r="N53" s="60"/>
      <c r="O53" s="60"/>
      <c r="P53" s="60"/>
      <c r="Q53" s="60"/>
      <c r="R53" s="60"/>
      <c r="S53" s="60"/>
      <c r="T53" s="62"/>
    </row>
    <row r="54" spans="1:20" ht="32.450000000000003" customHeight="1" x14ac:dyDescent="0.2">
      <c r="A54" s="267"/>
      <c r="B54" s="267"/>
      <c r="C54" s="318"/>
      <c r="D54" s="105" t="s">
        <v>52</v>
      </c>
      <c r="E54" s="106">
        <f>SUM(E46:E53)</f>
        <v>32889</v>
      </c>
      <c r="F54" s="106">
        <f>SUM(F46:F53)</f>
        <v>25</v>
      </c>
      <c r="G54" s="106">
        <f>SUM(G46:G53)</f>
        <v>693</v>
      </c>
      <c r="H54" s="106">
        <f>SUM(H46:H53)</f>
        <v>43572</v>
      </c>
      <c r="I54" s="106">
        <f>SUM(I46:I51)+15+I53</f>
        <v>51</v>
      </c>
      <c r="J54" s="106">
        <f>SUM(J46:J53)</f>
        <v>1010</v>
      </c>
      <c r="K54" s="125"/>
      <c r="L54" s="60"/>
      <c r="M54" s="60"/>
      <c r="N54" s="60"/>
      <c r="O54" s="60"/>
      <c r="P54" s="60"/>
      <c r="Q54" s="60"/>
      <c r="R54" s="60"/>
      <c r="S54" s="60"/>
      <c r="T54" s="62"/>
    </row>
    <row r="55" spans="1:20" ht="23.25" customHeight="1" x14ac:dyDescent="0.2">
      <c r="A55" s="267"/>
      <c r="B55" s="267"/>
      <c r="C55" s="316" t="s">
        <v>94</v>
      </c>
      <c r="D55" s="38" t="s">
        <v>95</v>
      </c>
      <c r="E55" s="63">
        <v>13216</v>
      </c>
      <c r="F55" s="63">
        <v>4</v>
      </c>
      <c r="G55" s="63">
        <v>129</v>
      </c>
      <c r="H55" s="9">
        <f t="shared" si="1"/>
        <v>13216</v>
      </c>
      <c r="I55" s="9">
        <f t="shared" si="1"/>
        <v>4</v>
      </c>
      <c r="J55" s="9">
        <f t="shared" si="1"/>
        <v>129</v>
      </c>
      <c r="K55" s="125"/>
      <c r="L55" s="63"/>
      <c r="M55" s="63"/>
      <c r="N55" s="63"/>
      <c r="O55" s="63"/>
      <c r="P55" s="63"/>
      <c r="Q55" s="63"/>
      <c r="R55" s="63"/>
      <c r="S55" s="62"/>
      <c r="T55" s="62"/>
    </row>
    <row r="56" spans="1:20" ht="33" customHeight="1" x14ac:dyDescent="0.2">
      <c r="A56" s="267"/>
      <c r="B56" s="267"/>
      <c r="C56" s="317"/>
      <c r="D56" s="38" t="s">
        <v>96</v>
      </c>
      <c r="E56" s="63">
        <v>20321</v>
      </c>
      <c r="F56" s="63">
        <v>5</v>
      </c>
      <c r="G56" s="63">
        <v>258</v>
      </c>
      <c r="H56" s="9">
        <f>E56-(L56+O56+R56)-1791-1200</f>
        <v>17330</v>
      </c>
      <c r="I56" s="9">
        <f t="shared" si="1"/>
        <v>5</v>
      </c>
      <c r="J56" s="9">
        <f>G56-(N56+Q56+T56)-20-30</f>
        <v>208</v>
      </c>
      <c r="K56" s="125" t="s">
        <v>229</v>
      </c>
      <c r="L56" s="63"/>
      <c r="M56" s="63"/>
      <c r="N56" s="63"/>
      <c r="O56" s="63"/>
      <c r="P56" s="63"/>
      <c r="Q56" s="63"/>
      <c r="R56" s="63"/>
      <c r="S56" s="62"/>
      <c r="T56" s="62"/>
    </row>
    <row r="57" spans="1:20" ht="33" customHeight="1" x14ac:dyDescent="0.2">
      <c r="A57" s="267"/>
      <c r="B57" s="267"/>
      <c r="C57" s="317"/>
      <c r="D57" s="38" t="s">
        <v>99</v>
      </c>
      <c r="E57" s="63">
        <v>18659</v>
      </c>
      <c r="F57" s="63">
        <v>6</v>
      </c>
      <c r="G57" s="63">
        <v>225</v>
      </c>
      <c r="H57" s="9">
        <f>E57-(L57+O57+R57)-1477</f>
        <v>17182</v>
      </c>
      <c r="I57" s="9">
        <f t="shared" si="1"/>
        <v>6</v>
      </c>
      <c r="J57" s="9">
        <f>G57-(N57+Q57+T57)-14</f>
        <v>211</v>
      </c>
      <c r="K57" s="125" t="s">
        <v>231</v>
      </c>
      <c r="L57" s="63"/>
      <c r="M57" s="63"/>
      <c r="N57" s="63"/>
      <c r="O57" s="63"/>
      <c r="P57" s="63"/>
      <c r="Q57" s="63"/>
      <c r="R57" s="63"/>
      <c r="S57" s="62"/>
      <c r="T57" s="62"/>
    </row>
    <row r="58" spans="1:20" ht="35.450000000000003" customHeight="1" x14ac:dyDescent="0.2">
      <c r="A58" s="267"/>
      <c r="B58" s="267"/>
      <c r="C58" s="317"/>
      <c r="D58" s="38" t="s">
        <v>101</v>
      </c>
      <c r="E58" s="63">
        <v>13915</v>
      </c>
      <c r="F58" s="63">
        <v>9</v>
      </c>
      <c r="G58" s="63">
        <v>164</v>
      </c>
      <c r="H58" s="9">
        <f>E58-(L58+O58+R58)+1791</f>
        <v>15706</v>
      </c>
      <c r="I58" s="9">
        <f t="shared" si="1"/>
        <v>9</v>
      </c>
      <c r="J58" s="9">
        <f>G58-(N58+Q58+T58)+20</f>
        <v>184</v>
      </c>
      <c r="K58" s="125" t="s">
        <v>239</v>
      </c>
      <c r="L58" s="63"/>
      <c r="M58" s="63"/>
      <c r="N58" s="63"/>
      <c r="O58" s="63"/>
      <c r="P58" s="63"/>
      <c r="Q58" s="63"/>
      <c r="R58" s="63"/>
      <c r="S58" s="62"/>
      <c r="T58" s="62"/>
    </row>
    <row r="59" spans="1:20" ht="35.450000000000003" customHeight="1" x14ac:dyDescent="0.2">
      <c r="A59" s="267"/>
      <c r="B59" s="267"/>
      <c r="C59" s="317"/>
      <c r="D59" s="38" t="s">
        <v>136</v>
      </c>
      <c r="E59" s="63">
        <v>0</v>
      </c>
      <c r="F59" s="63">
        <v>0</v>
      </c>
      <c r="G59" s="63">
        <v>0</v>
      </c>
      <c r="H59" s="9">
        <v>9464</v>
      </c>
      <c r="I59" s="9">
        <v>4</v>
      </c>
      <c r="J59" s="9">
        <v>135</v>
      </c>
      <c r="K59" s="125" t="s">
        <v>247</v>
      </c>
      <c r="L59" s="63"/>
      <c r="M59" s="63"/>
      <c r="N59" s="63"/>
      <c r="O59" s="63"/>
      <c r="P59" s="63"/>
      <c r="Q59" s="63"/>
      <c r="R59" s="63"/>
      <c r="S59" s="62"/>
      <c r="T59" s="62"/>
    </row>
    <row r="60" spans="1:20" ht="35.450000000000003" customHeight="1" x14ac:dyDescent="0.2">
      <c r="A60" s="267"/>
      <c r="B60" s="267"/>
      <c r="C60" s="317"/>
      <c r="D60" s="38" t="s">
        <v>246</v>
      </c>
      <c r="E60" s="63">
        <v>0</v>
      </c>
      <c r="F60" s="63">
        <v>0</v>
      </c>
      <c r="G60" s="63">
        <v>0</v>
      </c>
      <c r="H60" s="9">
        <v>8815</v>
      </c>
      <c r="I60" s="9">
        <v>10</v>
      </c>
      <c r="J60" s="9">
        <v>268</v>
      </c>
      <c r="K60" s="125" t="s">
        <v>247</v>
      </c>
      <c r="L60" s="63"/>
      <c r="M60" s="63"/>
      <c r="N60" s="63"/>
      <c r="O60" s="63"/>
      <c r="P60" s="63"/>
      <c r="Q60" s="63"/>
      <c r="R60" s="63"/>
      <c r="S60" s="62"/>
      <c r="T60" s="62"/>
    </row>
    <row r="61" spans="1:20" ht="52.15" customHeight="1" x14ac:dyDescent="0.2">
      <c r="A61" s="267"/>
      <c r="B61" s="267"/>
      <c r="C61" s="317"/>
      <c r="D61" s="13" t="s">
        <v>242</v>
      </c>
      <c r="E61" s="13">
        <v>0</v>
      </c>
      <c r="F61" s="13">
        <v>0</v>
      </c>
      <c r="G61" s="13">
        <v>0</v>
      </c>
      <c r="H61" s="13">
        <f>6877+2100</f>
        <v>8977</v>
      </c>
      <c r="I61" s="13">
        <f t="shared" ref="I61" si="9">F61-(M61+P61+S61)</f>
        <v>0</v>
      </c>
      <c r="J61" s="13">
        <f>98+30</f>
        <v>128</v>
      </c>
      <c r="K61" s="125" t="s">
        <v>258</v>
      </c>
      <c r="L61" s="63"/>
      <c r="M61" s="63"/>
      <c r="N61" s="63"/>
      <c r="O61" s="63"/>
      <c r="P61" s="63"/>
      <c r="Q61" s="63"/>
      <c r="R61" s="63"/>
      <c r="S61" s="62"/>
      <c r="T61" s="62"/>
    </row>
    <row r="62" spans="1:20" ht="32.450000000000003" customHeight="1" x14ac:dyDescent="0.2">
      <c r="A62" s="267"/>
      <c r="B62" s="267"/>
      <c r="C62" s="317"/>
      <c r="D62" s="38" t="s">
        <v>103</v>
      </c>
      <c r="E62" s="63">
        <v>6995</v>
      </c>
      <c r="F62" s="63">
        <v>11</v>
      </c>
      <c r="G62" s="63">
        <v>96</v>
      </c>
      <c r="H62" s="9">
        <f>E62-(L62+O62+R62)+1477+3900</f>
        <v>12372</v>
      </c>
      <c r="I62" s="9">
        <f t="shared" si="1"/>
        <v>11</v>
      </c>
      <c r="J62" s="9">
        <f>G62-(N62+Q62+T62)+14+15</f>
        <v>125</v>
      </c>
      <c r="K62" s="125" t="s">
        <v>254</v>
      </c>
      <c r="L62" s="63"/>
      <c r="M62" s="63"/>
      <c r="N62" s="63"/>
      <c r="O62" s="63"/>
      <c r="P62" s="63"/>
      <c r="Q62" s="63"/>
      <c r="R62" s="63"/>
      <c r="S62" s="62"/>
      <c r="T62" s="62"/>
    </row>
    <row r="63" spans="1:20" ht="26.25" customHeight="1" x14ac:dyDescent="0.2">
      <c r="A63" s="267"/>
      <c r="B63" s="267"/>
      <c r="C63" s="318"/>
      <c r="D63" s="105" t="s">
        <v>52</v>
      </c>
      <c r="E63" s="106">
        <f>SUM(E55:E62)</f>
        <v>73106</v>
      </c>
      <c r="F63" s="106">
        <f>SUM(F55:F62)</f>
        <v>35</v>
      </c>
      <c r="G63" s="106">
        <f>SUM(G55:G62)</f>
        <v>872</v>
      </c>
      <c r="H63" s="106">
        <f t="shared" ref="H63:J63" si="10">SUM(H55:H62)</f>
        <v>103062</v>
      </c>
      <c r="I63" s="106">
        <f t="shared" si="10"/>
        <v>49</v>
      </c>
      <c r="J63" s="106">
        <f t="shared" si="10"/>
        <v>1388</v>
      </c>
      <c r="K63" s="125"/>
      <c r="L63" s="63"/>
      <c r="M63" s="63"/>
      <c r="N63" s="63"/>
      <c r="O63" s="63"/>
      <c r="P63" s="63"/>
      <c r="Q63" s="63"/>
      <c r="R63" s="63"/>
      <c r="S63" s="62"/>
      <c r="T63" s="62"/>
    </row>
    <row r="64" spans="1:20" ht="45.75" customHeight="1" x14ac:dyDescent="0.2">
      <c r="A64" s="267"/>
      <c r="B64" s="267"/>
      <c r="C64" s="316" t="s">
        <v>104</v>
      </c>
      <c r="D64" s="38" t="s">
        <v>105</v>
      </c>
      <c r="E64" s="63">
        <v>11763</v>
      </c>
      <c r="F64" s="63">
        <v>17</v>
      </c>
      <c r="G64" s="63">
        <v>151</v>
      </c>
      <c r="H64" s="9">
        <f t="shared" si="1"/>
        <v>0</v>
      </c>
      <c r="I64" s="9">
        <f t="shared" si="1"/>
        <v>0</v>
      </c>
      <c r="J64" s="9">
        <f t="shared" si="1"/>
        <v>0</v>
      </c>
      <c r="K64" s="125" t="s">
        <v>171</v>
      </c>
      <c r="L64" s="60"/>
      <c r="M64" s="60"/>
      <c r="N64" s="60"/>
      <c r="O64" s="60"/>
      <c r="P64" s="60"/>
      <c r="Q64" s="60"/>
      <c r="R64" s="60">
        <v>11763</v>
      </c>
      <c r="S64" s="60">
        <v>17</v>
      </c>
      <c r="T64" s="60">
        <v>151</v>
      </c>
    </row>
    <row r="65" spans="1:20" ht="52.5" customHeight="1" x14ac:dyDescent="0.2">
      <c r="A65" s="267"/>
      <c r="B65" s="267"/>
      <c r="C65" s="317"/>
      <c r="D65" s="38" t="s">
        <v>106</v>
      </c>
      <c r="E65" s="63">
        <v>6967</v>
      </c>
      <c r="F65" s="63">
        <v>11</v>
      </c>
      <c r="G65" s="63">
        <v>157</v>
      </c>
      <c r="H65" s="9">
        <f>E65-(L65+O65+R65)+19</f>
        <v>3979</v>
      </c>
      <c r="I65" s="9">
        <f>F65-(M65+P65+S65)+1</f>
        <v>6</v>
      </c>
      <c r="J65" s="9">
        <f>G65-(N65+Q65+T65)+1</f>
        <v>76</v>
      </c>
      <c r="K65" s="125" t="s">
        <v>263</v>
      </c>
      <c r="L65" s="60"/>
      <c r="M65" s="60"/>
      <c r="N65" s="60"/>
      <c r="O65" s="60">
        <v>301</v>
      </c>
      <c r="P65" s="60">
        <v>0</v>
      </c>
      <c r="Q65" s="60">
        <v>2</v>
      </c>
      <c r="R65" s="60">
        <v>2706</v>
      </c>
      <c r="S65" s="60">
        <v>6</v>
      </c>
      <c r="T65" s="60">
        <v>80</v>
      </c>
    </row>
    <row r="66" spans="1:20" ht="35.25" customHeight="1" x14ac:dyDescent="0.2">
      <c r="A66" s="267"/>
      <c r="B66" s="267"/>
      <c r="C66" s="317"/>
      <c r="D66" s="38" t="s">
        <v>107</v>
      </c>
      <c r="E66" s="63">
        <v>6206</v>
      </c>
      <c r="F66" s="63">
        <v>5</v>
      </c>
      <c r="G66" s="63">
        <v>135</v>
      </c>
      <c r="H66" s="9">
        <f t="shared" si="1"/>
        <v>0</v>
      </c>
      <c r="I66" s="9">
        <f t="shared" si="1"/>
        <v>0</v>
      </c>
      <c r="J66" s="9">
        <f t="shared" si="1"/>
        <v>0</v>
      </c>
      <c r="K66" s="125" t="s">
        <v>171</v>
      </c>
      <c r="L66" s="60"/>
      <c r="M66" s="60"/>
      <c r="N66" s="60"/>
      <c r="O66" s="60"/>
      <c r="P66" s="60"/>
      <c r="Q66" s="60"/>
      <c r="R66" s="60">
        <v>6206</v>
      </c>
      <c r="S66" s="60">
        <v>5</v>
      </c>
      <c r="T66" s="60">
        <v>135</v>
      </c>
    </row>
    <row r="67" spans="1:20" ht="35.25" customHeight="1" x14ac:dyDescent="0.2">
      <c r="A67" s="267"/>
      <c r="B67" s="267"/>
      <c r="C67" s="317"/>
      <c r="D67" s="38" t="s">
        <v>108</v>
      </c>
      <c r="E67" s="63">
        <v>8035</v>
      </c>
      <c r="F67" s="63">
        <v>12</v>
      </c>
      <c r="G67" s="63">
        <v>177</v>
      </c>
      <c r="H67" s="9">
        <f t="shared" si="1"/>
        <v>6595</v>
      </c>
      <c r="I67" s="9">
        <f t="shared" si="1"/>
        <v>12</v>
      </c>
      <c r="J67" s="9">
        <f t="shared" si="1"/>
        <v>132</v>
      </c>
      <c r="K67" s="125" t="s">
        <v>172</v>
      </c>
      <c r="L67" s="60"/>
      <c r="M67" s="60"/>
      <c r="N67" s="60"/>
      <c r="O67" s="60"/>
      <c r="P67" s="60"/>
      <c r="Q67" s="60"/>
      <c r="R67" s="60">
        <v>1440</v>
      </c>
      <c r="S67" s="60">
        <v>0</v>
      </c>
      <c r="T67" s="60">
        <v>45</v>
      </c>
    </row>
    <row r="68" spans="1:20" ht="37.5" customHeight="1" x14ac:dyDescent="0.2">
      <c r="A68" s="267"/>
      <c r="B68" s="267"/>
      <c r="C68" s="317"/>
      <c r="D68" s="38" t="s">
        <v>109</v>
      </c>
      <c r="E68" s="63">
        <v>5270</v>
      </c>
      <c r="F68" s="63">
        <v>12</v>
      </c>
      <c r="G68" s="63">
        <v>114</v>
      </c>
      <c r="H68" s="9">
        <f t="shared" si="1"/>
        <v>3352</v>
      </c>
      <c r="I68" s="9">
        <f t="shared" si="1"/>
        <v>6</v>
      </c>
      <c r="J68" s="9">
        <f t="shared" si="1"/>
        <v>82</v>
      </c>
      <c r="K68" s="125" t="s">
        <v>172</v>
      </c>
      <c r="L68" s="60"/>
      <c r="M68" s="60"/>
      <c r="N68" s="60"/>
      <c r="O68" s="60"/>
      <c r="P68" s="60"/>
      <c r="Q68" s="60"/>
      <c r="R68" s="60">
        <v>1918</v>
      </c>
      <c r="S68" s="60">
        <v>6</v>
      </c>
      <c r="T68" s="60">
        <v>32</v>
      </c>
    </row>
    <row r="69" spans="1:20" ht="26.25" customHeight="1" x14ac:dyDescent="0.2">
      <c r="A69" s="267"/>
      <c r="B69" s="268"/>
      <c r="C69" s="318"/>
      <c r="D69" s="105" t="s">
        <v>52</v>
      </c>
      <c r="E69" s="106">
        <f>SUM(E64:E68)</f>
        <v>38241</v>
      </c>
      <c r="F69" s="106">
        <f>SUM(F64:F68)</f>
        <v>57</v>
      </c>
      <c r="G69" s="106">
        <f>SUM(G64:G68)</f>
        <v>734</v>
      </c>
      <c r="H69" s="106">
        <f t="shared" ref="H69:J69" si="11">SUM(H64:H68)</f>
        <v>13926</v>
      </c>
      <c r="I69" s="106">
        <f t="shared" si="11"/>
        <v>24</v>
      </c>
      <c r="J69" s="106">
        <f t="shared" si="11"/>
        <v>290</v>
      </c>
      <c r="K69" s="125"/>
      <c r="L69" s="60"/>
      <c r="M69" s="60"/>
      <c r="N69" s="60"/>
      <c r="O69" s="60"/>
      <c r="P69" s="60"/>
      <c r="Q69" s="60"/>
      <c r="R69" s="60"/>
      <c r="S69" s="60"/>
      <c r="T69" s="60"/>
    </row>
    <row r="70" spans="1:20" ht="26.25" customHeight="1" x14ac:dyDescent="0.2">
      <c r="A70" s="267"/>
      <c r="B70" s="311" t="s">
        <v>110</v>
      </c>
      <c r="C70" s="311"/>
      <c r="D70" s="311"/>
      <c r="E70" s="64">
        <f>E69+E63+E54+E45</f>
        <v>188680</v>
      </c>
      <c r="F70" s="64">
        <f>F69+F63+F54+F45</f>
        <v>134</v>
      </c>
      <c r="G70" s="64">
        <f>G69+G63+G54+G45</f>
        <v>2961</v>
      </c>
      <c r="H70" s="64">
        <f t="shared" ref="H70:J70" si="12">H69+H63+H54+H45</f>
        <v>204170</v>
      </c>
      <c r="I70" s="64">
        <f t="shared" si="12"/>
        <v>141</v>
      </c>
      <c r="J70" s="64">
        <f t="shared" si="12"/>
        <v>3340</v>
      </c>
      <c r="K70" s="125"/>
      <c r="L70" s="60">
        <f t="shared" ref="L70:T70" si="13">SUM(L39:L69)</f>
        <v>0</v>
      </c>
      <c r="M70" s="60">
        <f t="shared" si="13"/>
        <v>0</v>
      </c>
      <c r="N70" s="60">
        <f t="shared" si="13"/>
        <v>0</v>
      </c>
      <c r="O70" s="60">
        <f t="shared" si="13"/>
        <v>1166</v>
      </c>
      <c r="P70" s="60">
        <f t="shared" si="13"/>
        <v>0</v>
      </c>
      <c r="Q70" s="60">
        <f t="shared" si="13"/>
        <v>13</v>
      </c>
      <c r="R70" s="60">
        <f t="shared" si="13"/>
        <v>24033</v>
      </c>
      <c r="S70" s="60">
        <f t="shared" si="13"/>
        <v>34</v>
      </c>
      <c r="T70" s="60">
        <f t="shared" si="13"/>
        <v>443</v>
      </c>
    </row>
    <row r="71" spans="1:20" ht="26.25" customHeight="1" x14ac:dyDescent="0.2">
      <c r="A71" s="111"/>
      <c r="B71" s="79"/>
      <c r="C71" s="312" t="s">
        <v>255</v>
      </c>
      <c r="D71" s="313"/>
      <c r="E71" s="313"/>
      <c r="F71" s="313"/>
      <c r="G71" s="313"/>
      <c r="H71" s="313"/>
      <c r="I71" s="313"/>
      <c r="J71" s="314"/>
      <c r="K71" s="125"/>
      <c r="L71" s="112"/>
      <c r="M71" s="112"/>
      <c r="N71" s="112"/>
      <c r="O71" s="112"/>
      <c r="P71" s="112"/>
      <c r="Q71" s="112"/>
      <c r="R71" s="112"/>
      <c r="S71" s="112"/>
      <c r="T71" s="112"/>
    </row>
    <row r="72" spans="1:20" ht="33.6" customHeight="1" x14ac:dyDescent="0.2">
      <c r="B72" s="315" t="s">
        <v>232</v>
      </c>
      <c r="C72" s="316" t="s">
        <v>278</v>
      </c>
      <c r="D72" s="13" t="s">
        <v>50</v>
      </c>
      <c r="E72" s="9">
        <v>0</v>
      </c>
      <c r="F72" s="8">
        <v>0</v>
      </c>
      <c r="G72" s="4">
        <v>0</v>
      </c>
      <c r="H72" s="9">
        <f>7109+937</f>
        <v>8046</v>
      </c>
      <c r="I72" s="9">
        <f>7</f>
        <v>7</v>
      </c>
      <c r="J72" s="9">
        <f>90+27</f>
        <v>117</v>
      </c>
      <c r="K72" s="125" t="s">
        <v>240</v>
      </c>
    </row>
    <row r="73" spans="1:20" ht="33.6" customHeight="1" x14ac:dyDescent="0.2">
      <c r="B73" s="315"/>
      <c r="C73" s="317"/>
      <c r="D73" s="13" t="s">
        <v>69</v>
      </c>
      <c r="E73" s="62">
        <v>10543</v>
      </c>
      <c r="F73" s="62">
        <v>2</v>
      </c>
      <c r="G73" s="4">
        <v>81</v>
      </c>
      <c r="H73" s="9">
        <f t="shared" ref="H73:J75" si="14">E73-(L73+O73+R73)</f>
        <v>10543</v>
      </c>
      <c r="I73" s="9">
        <f t="shared" si="14"/>
        <v>2</v>
      </c>
      <c r="J73" s="9">
        <f t="shared" si="14"/>
        <v>81</v>
      </c>
      <c r="K73" s="125" t="s">
        <v>240</v>
      </c>
    </row>
    <row r="74" spans="1:20" ht="33.6" customHeight="1" x14ac:dyDescent="0.2">
      <c r="B74" s="315"/>
      <c r="C74" s="317"/>
      <c r="D74" s="13" t="s">
        <v>71</v>
      </c>
      <c r="E74" s="62">
        <v>14321</v>
      </c>
      <c r="F74" s="62">
        <v>4</v>
      </c>
      <c r="G74" s="4">
        <v>236</v>
      </c>
      <c r="H74" s="9">
        <f t="shared" si="14"/>
        <v>14321</v>
      </c>
      <c r="I74" s="9">
        <f t="shared" si="14"/>
        <v>4</v>
      </c>
      <c r="J74" s="9">
        <f t="shared" si="14"/>
        <v>236</v>
      </c>
      <c r="K74" s="125" t="s">
        <v>240</v>
      </c>
    </row>
    <row r="75" spans="1:20" ht="33.6" customHeight="1" x14ac:dyDescent="0.2">
      <c r="B75" s="315"/>
      <c r="C75" s="317"/>
      <c r="D75" s="13" t="s">
        <v>73</v>
      </c>
      <c r="E75" s="62">
        <v>6351</v>
      </c>
      <c r="F75" s="62">
        <v>0</v>
      </c>
      <c r="G75" s="4">
        <v>42</v>
      </c>
      <c r="H75" s="9">
        <f t="shared" si="14"/>
        <v>6351</v>
      </c>
      <c r="I75" s="9">
        <f t="shared" si="14"/>
        <v>0</v>
      </c>
      <c r="J75" s="9">
        <f t="shared" si="14"/>
        <v>42</v>
      </c>
      <c r="K75" s="125" t="s">
        <v>240</v>
      </c>
    </row>
    <row r="76" spans="1:20" ht="33.6" customHeight="1" x14ac:dyDescent="0.2">
      <c r="B76" s="315"/>
      <c r="C76" s="317"/>
      <c r="D76" s="13" t="s">
        <v>77</v>
      </c>
      <c r="E76" s="62">
        <v>0</v>
      </c>
      <c r="F76" s="62">
        <v>0</v>
      </c>
      <c r="G76" s="4">
        <v>0</v>
      </c>
      <c r="H76" s="9">
        <v>4265</v>
      </c>
      <c r="I76" s="9">
        <v>4</v>
      </c>
      <c r="J76" s="9">
        <v>115</v>
      </c>
      <c r="K76" s="125" t="s">
        <v>240</v>
      </c>
    </row>
    <row r="77" spans="1:20" ht="33.6" customHeight="1" x14ac:dyDescent="0.2">
      <c r="B77" s="315"/>
      <c r="C77" s="317"/>
      <c r="D77" s="113" t="s">
        <v>52</v>
      </c>
      <c r="E77" s="115">
        <f>SUM(E72:E76)</f>
        <v>31215</v>
      </c>
      <c r="F77" s="115">
        <f>SUM(F72:F76)</f>
        <v>6</v>
      </c>
      <c r="G77" s="115">
        <f>SUM(G72:G76)</f>
        <v>359</v>
      </c>
      <c r="H77" s="115">
        <f>SUM(H72:H76)</f>
        <v>43526</v>
      </c>
      <c r="I77" s="115">
        <f t="shared" ref="I77" si="15">SUM(I72:I75)</f>
        <v>13</v>
      </c>
      <c r="J77" s="115">
        <f>SUM(J72:J76)</f>
        <v>591</v>
      </c>
      <c r="K77" s="125" t="s">
        <v>240</v>
      </c>
    </row>
    <row r="78" spans="1:20" ht="32.450000000000003" customHeight="1" x14ac:dyDescent="0.2">
      <c r="B78" s="315"/>
      <c r="C78" s="316" t="s">
        <v>218</v>
      </c>
      <c r="D78" s="13" t="s">
        <v>74</v>
      </c>
      <c r="E78" s="13">
        <v>4418</v>
      </c>
      <c r="F78" s="13">
        <v>7</v>
      </c>
      <c r="G78" s="13">
        <v>111</v>
      </c>
      <c r="H78" s="13">
        <v>4418</v>
      </c>
      <c r="I78" s="13">
        <v>7</v>
      </c>
      <c r="J78" s="13">
        <v>111</v>
      </c>
      <c r="K78" s="125" t="s">
        <v>241</v>
      </c>
    </row>
    <row r="79" spans="1:20" ht="42" customHeight="1" x14ac:dyDescent="0.2">
      <c r="B79" s="315"/>
      <c r="C79" s="317"/>
      <c r="D79" s="13" t="s">
        <v>75</v>
      </c>
      <c r="E79" s="13">
        <v>8281</v>
      </c>
      <c r="F79" s="13">
        <v>2</v>
      </c>
      <c r="G79" s="13">
        <v>211</v>
      </c>
      <c r="H79" s="13">
        <v>5850</v>
      </c>
      <c r="I79" s="13">
        <v>1</v>
      </c>
      <c r="J79" s="13">
        <v>157</v>
      </c>
      <c r="K79" s="125" t="s">
        <v>259</v>
      </c>
    </row>
    <row r="80" spans="1:20" ht="32.450000000000003" customHeight="1" x14ac:dyDescent="0.2">
      <c r="B80" s="315"/>
      <c r="C80" s="317"/>
      <c r="D80" s="13" t="s">
        <v>76</v>
      </c>
      <c r="E80" s="13">
        <v>7523</v>
      </c>
      <c r="F80" s="13">
        <v>2</v>
      </c>
      <c r="G80" s="13">
        <v>159</v>
      </c>
      <c r="H80" s="13">
        <v>7523</v>
      </c>
      <c r="I80" s="13">
        <v>2</v>
      </c>
      <c r="J80" s="13">
        <v>159</v>
      </c>
      <c r="K80" s="125" t="s">
        <v>241</v>
      </c>
    </row>
    <row r="81" spans="2:11" ht="32.450000000000003" customHeight="1" x14ac:dyDescent="0.2">
      <c r="B81" s="315"/>
      <c r="C81" s="317"/>
      <c r="D81" s="13" t="s">
        <v>77</v>
      </c>
      <c r="E81" s="13">
        <v>4265</v>
      </c>
      <c r="F81" s="13">
        <v>4</v>
      </c>
      <c r="G81" s="13">
        <v>115</v>
      </c>
      <c r="H81" s="13">
        <v>0</v>
      </c>
      <c r="I81" s="13">
        <v>0</v>
      </c>
      <c r="J81" s="13">
        <v>0</v>
      </c>
      <c r="K81" s="125" t="s">
        <v>241</v>
      </c>
    </row>
    <row r="82" spans="2:11" ht="32.450000000000003" customHeight="1" x14ac:dyDescent="0.2">
      <c r="B82" s="315"/>
      <c r="C82" s="317"/>
      <c r="D82" s="13" t="s">
        <v>78</v>
      </c>
      <c r="E82" s="13">
        <v>5731</v>
      </c>
      <c r="F82" s="13">
        <v>5</v>
      </c>
      <c r="G82" s="13">
        <v>107</v>
      </c>
      <c r="H82" s="13">
        <v>5731</v>
      </c>
      <c r="I82" s="13">
        <v>5</v>
      </c>
      <c r="J82" s="13">
        <v>107</v>
      </c>
      <c r="K82" s="125" t="s">
        <v>241</v>
      </c>
    </row>
    <row r="83" spans="2:11" ht="32.450000000000003" customHeight="1" x14ac:dyDescent="0.2">
      <c r="B83" s="315"/>
      <c r="C83" s="318"/>
      <c r="D83" s="14" t="s">
        <v>52</v>
      </c>
      <c r="E83" s="14">
        <v>30218</v>
      </c>
      <c r="F83" s="14">
        <v>20</v>
      </c>
      <c r="G83" s="14">
        <v>703</v>
      </c>
      <c r="H83" s="14">
        <f>SUM(H78:H82)</f>
        <v>23522</v>
      </c>
      <c r="I83" s="14">
        <v>20</v>
      </c>
      <c r="J83" s="14">
        <f>SUM(J78:J82)</f>
        <v>534</v>
      </c>
      <c r="K83" s="125"/>
    </row>
    <row r="84" spans="2:11" ht="34.9" customHeight="1" x14ac:dyDescent="0.2">
      <c r="B84" s="315"/>
      <c r="C84" s="316" t="s">
        <v>256</v>
      </c>
      <c r="D84" s="13" t="s">
        <v>97</v>
      </c>
      <c r="E84" s="13">
        <v>11517</v>
      </c>
      <c r="F84" s="13">
        <v>2</v>
      </c>
      <c r="G84" s="13">
        <v>160</v>
      </c>
      <c r="H84" s="13">
        <f t="shared" ref="H84:J87" si="16">E84-(L84+O84+R84)</f>
        <v>11517</v>
      </c>
      <c r="I84" s="13">
        <f t="shared" si="16"/>
        <v>2</v>
      </c>
      <c r="J84" s="13">
        <f t="shared" si="16"/>
        <v>160</v>
      </c>
      <c r="K84" s="125" t="s">
        <v>272</v>
      </c>
    </row>
    <row r="85" spans="2:11" ht="57" customHeight="1" x14ac:dyDescent="0.2">
      <c r="B85" s="315"/>
      <c r="C85" s="317"/>
      <c r="D85" s="13" t="s">
        <v>98</v>
      </c>
      <c r="E85" s="13">
        <v>18852</v>
      </c>
      <c r="F85" s="13">
        <v>10</v>
      </c>
      <c r="G85" s="13">
        <v>236</v>
      </c>
      <c r="H85" s="13">
        <f>E85-(L85+O85+R85)-6877</f>
        <v>11975</v>
      </c>
      <c r="I85" s="13">
        <f t="shared" si="16"/>
        <v>10</v>
      </c>
      <c r="J85" s="13">
        <f>G85-(N85+Q85+T85)-98</f>
        <v>138</v>
      </c>
      <c r="K85" s="125" t="s">
        <v>275</v>
      </c>
    </row>
    <row r="86" spans="2:11" ht="67.150000000000006" customHeight="1" x14ac:dyDescent="0.2">
      <c r="B86" s="315"/>
      <c r="C86" s="317"/>
      <c r="D86" s="13" t="s">
        <v>100</v>
      </c>
      <c r="E86" s="13">
        <v>24952</v>
      </c>
      <c r="F86" s="13">
        <v>6</v>
      </c>
      <c r="G86" s="13">
        <v>280</v>
      </c>
      <c r="H86" s="13">
        <f>E86-(L86+O86+R86)-2100-3900-1300</f>
        <v>17652</v>
      </c>
      <c r="I86" s="13">
        <f t="shared" si="16"/>
        <v>6</v>
      </c>
      <c r="J86" s="13">
        <f>G86-(N86+Q86+T86)-30-15-15</f>
        <v>220</v>
      </c>
      <c r="K86" s="125" t="s">
        <v>274</v>
      </c>
    </row>
    <row r="87" spans="2:11" ht="55.9" customHeight="1" x14ac:dyDescent="0.2">
      <c r="B87" s="315"/>
      <c r="C87" s="317"/>
      <c r="D87" s="13" t="s">
        <v>102</v>
      </c>
      <c r="E87" s="13">
        <v>15923</v>
      </c>
      <c r="F87" s="13">
        <v>1</v>
      </c>
      <c r="G87" s="13">
        <v>160</v>
      </c>
      <c r="H87" s="13">
        <f>E87-(L87+O87+R87)+1300</f>
        <v>17223</v>
      </c>
      <c r="I87" s="13">
        <f t="shared" si="16"/>
        <v>1</v>
      </c>
      <c r="J87" s="13">
        <f>G87-(N87+Q87+T87)+15</f>
        <v>175</v>
      </c>
      <c r="K87" s="125" t="s">
        <v>273</v>
      </c>
    </row>
    <row r="88" spans="2:11" ht="34.9" customHeight="1" x14ac:dyDescent="0.2">
      <c r="B88" s="315"/>
      <c r="C88" s="317"/>
      <c r="D88" s="14" t="s">
        <v>52</v>
      </c>
      <c r="E88" s="14">
        <f t="shared" ref="E88:J88" si="17">SUM(E84:E87)</f>
        <v>71244</v>
      </c>
      <c r="F88" s="14">
        <f t="shared" si="17"/>
        <v>19</v>
      </c>
      <c r="G88" s="14">
        <f t="shared" si="17"/>
        <v>836</v>
      </c>
      <c r="H88" s="14">
        <f t="shared" si="17"/>
        <v>58367</v>
      </c>
      <c r="I88" s="14">
        <f t="shared" si="17"/>
        <v>19</v>
      </c>
      <c r="J88" s="14">
        <f t="shared" si="17"/>
        <v>693</v>
      </c>
      <c r="K88" s="125"/>
    </row>
    <row r="89" spans="2:11" ht="36.6" customHeight="1" x14ac:dyDescent="0.2">
      <c r="B89" s="315"/>
      <c r="C89" s="317" t="s">
        <v>233</v>
      </c>
      <c r="D89" s="13" t="s">
        <v>237</v>
      </c>
      <c r="E89" s="13">
        <v>0</v>
      </c>
      <c r="F89" s="13">
        <v>0</v>
      </c>
      <c r="G89" s="13">
        <v>0</v>
      </c>
      <c r="H89" s="13">
        <v>5514</v>
      </c>
      <c r="I89" s="13">
        <v>1</v>
      </c>
      <c r="J89" s="13">
        <v>93</v>
      </c>
      <c r="K89" s="125" t="s">
        <v>238</v>
      </c>
    </row>
    <row r="90" spans="2:11" ht="36.6" customHeight="1" x14ac:dyDescent="0.2">
      <c r="B90" s="315"/>
      <c r="C90" s="317"/>
      <c r="D90" s="13" t="s">
        <v>235</v>
      </c>
      <c r="E90" s="13">
        <v>0</v>
      </c>
      <c r="F90" s="13">
        <v>0</v>
      </c>
      <c r="G90" s="13">
        <v>0</v>
      </c>
      <c r="H90" s="13">
        <v>3727</v>
      </c>
      <c r="I90" s="13">
        <v>1</v>
      </c>
      <c r="J90" s="13">
        <v>75</v>
      </c>
      <c r="K90" s="125" t="s">
        <v>238</v>
      </c>
    </row>
    <row r="91" spans="2:11" ht="36.6" customHeight="1" x14ac:dyDescent="0.2">
      <c r="B91" s="315"/>
      <c r="C91" s="317"/>
      <c r="D91" s="13" t="s">
        <v>236</v>
      </c>
      <c r="E91" s="13">
        <v>0</v>
      </c>
      <c r="F91" s="13">
        <v>0</v>
      </c>
      <c r="G91" s="13">
        <v>0</v>
      </c>
      <c r="H91" s="13">
        <v>5680</v>
      </c>
      <c r="I91" s="13">
        <v>3</v>
      </c>
      <c r="J91" s="13">
        <v>89</v>
      </c>
      <c r="K91" s="125" t="s">
        <v>238</v>
      </c>
    </row>
    <row r="92" spans="2:11" ht="56.45" customHeight="1" x14ac:dyDescent="0.2">
      <c r="B92" s="315"/>
      <c r="C92" s="317"/>
      <c r="D92" s="13" t="s">
        <v>234</v>
      </c>
      <c r="E92" s="13">
        <v>0</v>
      </c>
      <c r="F92" s="13">
        <v>0</v>
      </c>
      <c r="G92" s="13">
        <v>0</v>
      </c>
      <c r="H92" s="13">
        <f>10534+1288+202</f>
        <v>12024</v>
      </c>
      <c r="I92" s="13">
        <v>3</v>
      </c>
      <c r="J92" s="13">
        <f>175+28+0</f>
        <v>203</v>
      </c>
      <c r="K92" s="125" t="s">
        <v>257</v>
      </c>
    </row>
    <row r="93" spans="2:11" ht="31.15" customHeight="1" x14ac:dyDescent="0.2">
      <c r="B93" s="315"/>
      <c r="C93" s="318"/>
      <c r="D93" s="14" t="s">
        <v>52</v>
      </c>
      <c r="E93" s="14">
        <f>SUM(E89:E92)</f>
        <v>0</v>
      </c>
      <c r="F93" s="14">
        <f t="shared" ref="F93:J93" si="18">SUM(F89:F92)</f>
        <v>0</v>
      </c>
      <c r="G93" s="14">
        <f t="shared" si="18"/>
        <v>0</v>
      </c>
      <c r="H93" s="14">
        <f t="shared" si="18"/>
        <v>26945</v>
      </c>
      <c r="I93" s="14">
        <f t="shared" si="18"/>
        <v>8</v>
      </c>
      <c r="J93" s="14">
        <f t="shared" si="18"/>
        <v>460</v>
      </c>
      <c r="K93" s="76"/>
    </row>
    <row r="94" spans="2:11" ht="34.9" customHeight="1" x14ac:dyDescent="0.3">
      <c r="B94" s="306" t="s">
        <v>244</v>
      </c>
      <c r="C94" s="306"/>
      <c r="D94" s="306"/>
      <c r="E94" s="110">
        <f t="shared" ref="E94:J94" si="19">E77+E83+E88+E93</f>
        <v>132677</v>
      </c>
      <c r="F94" s="110">
        <f t="shared" si="19"/>
        <v>45</v>
      </c>
      <c r="G94" s="110">
        <f t="shared" si="19"/>
        <v>1898</v>
      </c>
      <c r="H94" s="110">
        <f t="shared" si="19"/>
        <v>152360</v>
      </c>
      <c r="I94" s="110">
        <f t="shared" si="19"/>
        <v>60</v>
      </c>
      <c r="J94" s="110">
        <f t="shared" si="19"/>
        <v>2278</v>
      </c>
    </row>
    <row r="95" spans="2:11" ht="33" customHeight="1" x14ac:dyDescent="0.3">
      <c r="B95" s="307" t="s">
        <v>245</v>
      </c>
      <c r="C95" s="307"/>
      <c r="D95" s="307"/>
      <c r="E95" s="116">
        <f t="shared" ref="E95:J95" si="20">SUM(E38,E70,E94)</f>
        <v>583295</v>
      </c>
      <c r="F95" s="116">
        <f t="shared" si="20"/>
        <v>342</v>
      </c>
      <c r="G95" s="116">
        <f t="shared" si="20"/>
        <v>8453</v>
      </c>
      <c r="H95" s="116">
        <f t="shared" si="20"/>
        <v>617707</v>
      </c>
      <c r="I95" s="126">
        <f t="shared" si="20"/>
        <v>357</v>
      </c>
      <c r="J95" s="116">
        <f t="shared" si="20"/>
        <v>9273</v>
      </c>
      <c r="K95" s="118"/>
    </row>
    <row r="96" spans="2:11" ht="33.6" customHeight="1" x14ac:dyDescent="0.2"/>
  </sheetData>
  <mergeCells count="38">
    <mergeCell ref="A1:T1"/>
    <mergeCell ref="A2:T2"/>
    <mergeCell ref="A3:A4"/>
    <mergeCell ref="B3:B4"/>
    <mergeCell ref="C3:C4"/>
    <mergeCell ref="D3:D4"/>
    <mergeCell ref="E3:G3"/>
    <mergeCell ref="H3:J3"/>
    <mergeCell ref="L3:N3"/>
    <mergeCell ref="O3:Q3"/>
    <mergeCell ref="C46:C54"/>
    <mergeCell ref="C55:C63"/>
    <mergeCell ref="C64:C69"/>
    <mergeCell ref="R3:T3"/>
    <mergeCell ref="A5:A70"/>
    <mergeCell ref="B5:B26"/>
    <mergeCell ref="C5:C11"/>
    <mergeCell ref="C12:C17"/>
    <mergeCell ref="C18:C26"/>
    <mergeCell ref="B29:B36"/>
    <mergeCell ref="C33:D33"/>
    <mergeCell ref="C34:D34"/>
    <mergeCell ref="B94:D94"/>
    <mergeCell ref="B95:D95"/>
    <mergeCell ref="C27:C32"/>
    <mergeCell ref="B70:D70"/>
    <mergeCell ref="C71:J71"/>
    <mergeCell ref="B72:B93"/>
    <mergeCell ref="C72:C77"/>
    <mergeCell ref="C78:C83"/>
    <mergeCell ref="C84:C88"/>
    <mergeCell ref="C89:C93"/>
    <mergeCell ref="C35:D35"/>
    <mergeCell ref="C36:D36"/>
    <mergeCell ref="C37:D37"/>
    <mergeCell ref="B38:D38"/>
    <mergeCell ref="B39:B69"/>
    <mergeCell ref="C39:C45"/>
  </mergeCells>
  <pageMargins left="0.7" right="0.18" top="0.75" bottom="0.75" header="0.3" footer="0.3"/>
  <pageSetup paperSize="9" scale="75" orientation="landscape" r:id="rId1"/>
  <headerFooter>
    <oddFooter>Page &amp;P of &amp;N</oddFooter>
  </headerFooter>
  <rowBreaks count="2" manualBreakCount="2">
    <brk id="38" max="19" man="1"/>
    <brk id="63" max="19"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Tirupur Annex-1</vt:lpstr>
      <vt:lpstr>Tirupur Annex II</vt:lpstr>
      <vt:lpstr>Tirupur Annexure-III</vt:lpstr>
      <vt:lpstr>Annexure-IV TR FROM TPR EDC</vt:lpstr>
      <vt:lpstr>Annexure-IV TR FROM OTHER EDC </vt:lpstr>
      <vt:lpstr>ANNEXURE V FINAL-EDIT</vt:lpstr>
      <vt:lpstr>Annexure-I</vt:lpstr>
      <vt:lpstr>Annexure-II</vt:lpstr>
      <vt:lpstr>Annexure-V MODIFIED</vt:lpstr>
      <vt:lpstr>Annexure-V</vt:lpstr>
      <vt:lpstr>Sheet1</vt:lpstr>
      <vt:lpstr>Annexure-I!Print_Area</vt:lpstr>
      <vt:lpstr>Annexure-II!Print_Area</vt:lpstr>
      <vt:lpstr>Annexure-V!Print_Area</vt:lpstr>
      <vt:lpstr>Annexure-V MODIFIED!Print_Area</vt:lpstr>
      <vt:lpstr>Tirupur Annex-1!Print_Area</vt:lpstr>
      <vt:lpstr>ANNEXURE V FINAL-EDIT!Print_Titles</vt:lpstr>
      <vt:lpstr>Annexure-V!Print_Titles</vt:lpstr>
      <vt:lpstr>Annexure-V MODIFIED!Print_Titles</vt:lpstr>
      <vt:lpstr>Tirupur Annex 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 MIS</dc:creator>
  <cp:lastModifiedBy>TNEB</cp:lastModifiedBy>
  <cp:lastPrinted>2022-07-22T15:05:22Z</cp:lastPrinted>
  <dcterms:created xsi:type="dcterms:W3CDTF">2022-04-06T13:19:04Z</dcterms:created>
  <dcterms:modified xsi:type="dcterms:W3CDTF">2022-07-22T15:07:21Z</dcterms:modified>
</cp:coreProperties>
</file>